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0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axias do Sul" sheetId="4" state="visible" r:id="rId6"/>
    <sheet name="Desl. Base Caxias do Sul" sheetId="5" state="visible" r:id="rId7"/>
    <sheet name="Base Novo Hamburgo" sheetId="6" state="visible" r:id="rId8"/>
    <sheet name="Desl. Base Novo Hamburgo" sheetId="7" state="visible" r:id="rId9"/>
    <sheet name="Custo Eng. Eletricista" sheetId="8" state="visible" r:id="rId10"/>
    <sheet name="Comp. Eng. Eletricista" sheetId="9" state="visible" r:id="rId11"/>
    <sheet name="Custo Oficial de Manutenção" sheetId="10" state="visible" r:id="rId12"/>
    <sheet name="Comp. Oficial de Manutenção" sheetId="11" state="visible" r:id="rId13"/>
    <sheet name="Comp. Veícul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Caxias do Sul'!$B$2:$AW$21</definedName>
    <definedName function="false" hidden="false" localSheetId="5" name="_xlnm.Print_Area" vbProcedure="false">'Base Novo Hamburgo'!$B$2:$AW$35</definedName>
    <definedName function="false" hidden="false" localSheetId="13" name="_xlnm.Print_Area" vbProcedure="false">BDI!$B$1:$J$44</definedName>
    <definedName function="false" hidden="false" localSheetId="4" name="_xlnm.Print_Area" vbProcedure="false">'Desl. Base Caxias do Sul'!$B$2:$M$30</definedName>
    <definedName function="false" hidden="false" localSheetId="6" name="_xlnm.Print_Area" vbProcedure="false">'Desl. Base Novo Hamburgo'!$B$2:$M$63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Unidades!$B$2:$H$19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<sst xmlns="http://schemas.openxmlformats.org/spreadsheetml/2006/main" count="847" uniqueCount="332">
  <si>
    <t xml:space="preserve">ANEXO I – B8</t>
  </si>
  <si>
    <t xml:space="preserve">PLANILHA DETALHADA DE FORMAÇÃO DE PREÇO</t>
  </si>
  <si>
    <t xml:space="preserve">POLO VIII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</si>
  <si>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</si>
  <si>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</si>
  <si>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</si>
  <si>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</si>
  <si>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</si>
  <si>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</si>
  <si>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</si>
  <si>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VIII.</t>
  </si>
  <si>
    <t xml:space="preserve">Mês</t>
  </si>
  <si>
    <t xml:space="preserve">VALOR TOTAL DO ITEM 4: R$ 2.892.430,32 (dois milhões oitocentos e noventa e dois mil quatrocentos e trinta reais e trinta e dois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</si>
  <si>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</si>
  <si>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</si>
  <si>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</si>
  <si>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</si>
  <si>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</si>
  <si>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</si>
  <si>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</si>
  <si>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</si>
  <si>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CAXIAS DO SUL</t>
  </si>
  <si>
    <t xml:space="preserve">NOVO HAMBURGO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</si>
  <si>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</si>
  <si>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</si>
  <si>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</si>
  <si>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</si>
  <si>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</si>
  <si>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</si>
  <si>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</si>
  <si>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</si>
  <si>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</si>
  <si>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</si>
  <si>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</si>
  <si>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</si>
  <si>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</si>
  <si>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</si>
  <si>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</si>
  <si>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</si>
  <si>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</si>
  <si>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</si>
  <si>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</si>
  <si>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</si>
  <si>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</si>
  <si>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</si>
  <si>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</si>
  <si>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</si>
  <si>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</si>
  <si>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</si>
  <si>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</si>
  <si>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</si>
  <si>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</si>
  <si>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</si>
  <si>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</si>
  <si>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</si>
  <si>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</si>
  <si>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</si>
  <si>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</si>
  <si>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</si>
  <si>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</si>
  <si>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</si>
  <si>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</si>
  <si>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</si>
  <si>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</si>
  <si>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</si>
  <si>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</si>
  <si>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</si>
  <si>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</si>
  <si>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</si>
  <si>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</si>
  <si>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</si>
  <si>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</si>
  <si>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</si>
  <si>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</si>
  <si>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</si>
  <si>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</si>
  <si>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</si>
  <si>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</si>
  <si>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</si>
  <si>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</si>
  <si>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</si>
  <si>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GEX/APS CAXIAS DO SUL</t>
  </si>
  <si>
    <t xml:space="preserve">Custo por tipo de rotina</t>
  </si>
  <si>
    <t xml:space="preserve">CEDOCPREV CAXIAS DO SUL</t>
  </si>
  <si>
    <t xml:space="preserve">Custo Anual por tipo de rotina</t>
  </si>
  <si>
    <t xml:space="preserve">ARQUIVO RUA MARQUÊS DO HERVAL</t>
  </si>
  <si>
    <t xml:space="preserve">APS FLORES DA CUNHA</t>
  </si>
  <si>
    <t xml:space="preserve">APS CARLOS BARBOSA</t>
  </si>
  <si>
    <t xml:space="preserve">Custo Anual Preventiva</t>
  </si>
  <si>
    <t xml:space="preserve">APS GARIBALDI</t>
  </si>
  <si>
    <t xml:space="preserve">APS BENTO GONÇALVES</t>
  </si>
  <si>
    <t xml:space="preserve">Custo Anual Corretiva</t>
  </si>
  <si>
    <t xml:space="preserve">APS FARROUPILHA</t>
  </si>
  <si>
    <t xml:space="preserve">APS CANELA</t>
  </si>
  <si>
    <t xml:space="preserve">Custo Anual Manutenção</t>
  </si>
  <si>
    <t xml:space="preserve">APS TORRES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</si>
  <si>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</si>
  <si>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</si>
  <si>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</si>
  <si>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</si>
  <si>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</si>
  <si>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</si>
  <si>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</si>
  <si>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</si>
  <si>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</si>
  <si>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</si>
  <si>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</si>
  <si>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</si>
  <si>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</si>
  <si>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</si>
  <si>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</si>
  <si>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</si>
  <si>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</si>
  <si>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</si>
  <si>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</si>
  <si>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</si>
  <si>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</si>
  <si>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</si>
  <si>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</si>
  <si>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</si>
  <si>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</si>
  <si>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</si>
  <si>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</si>
  <si>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</si>
  <si>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</si>
  <si>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</si>
  <si>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</si>
  <si>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</si>
  <si>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</si>
  <si>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10/12/2024</t>
  </si>
  <si>
    <t xml:space="preserve">Custo Médio Mensal Manunteção</t>
  </si>
  <si>
    <t xml:space="preserve">GEX NOVO HAMBURGO</t>
  </si>
  <si>
    <t xml:space="preserve">APS NOVO HAMBURGO</t>
  </si>
  <si>
    <t xml:space="preserve">APS CAMPO BOM</t>
  </si>
  <si>
    <t xml:space="preserve">DEPÓSITO NOVO HAMBURGO</t>
  </si>
  <si>
    <t xml:space="preserve">APS TRÊS COROAS</t>
  </si>
  <si>
    <t xml:space="preserve">APS DOIS IRMÃOS</t>
  </si>
  <si>
    <t xml:space="preserve">APS SAPIRANGA</t>
  </si>
  <si>
    <t xml:space="preserve">APS PORTÃO</t>
  </si>
  <si>
    <t xml:space="preserve">APS SÃO LEOPOLDO</t>
  </si>
  <si>
    <t xml:space="preserve">APS MONTENEGRO</t>
  </si>
  <si>
    <t xml:space="preserve">APS SÃO SEBASTIÃO DO CAÍ</t>
  </si>
  <si>
    <t xml:space="preserve">APS ESTRELA</t>
  </si>
  <si>
    <t xml:space="preserve">APS LAJEADO</t>
  </si>
  <si>
    <t xml:space="preserve">APS Encantado</t>
  </si>
  <si>
    <t xml:space="preserve">APS TEUTÔNIA</t>
  </si>
  <si>
    <t xml:space="preserve">APS TAQUARA</t>
  </si>
  <si>
    <t xml:space="preserve">APS SANTO ANTÔNIO DA PATRULHA</t>
  </si>
  <si>
    <t xml:space="preserve">APS OSÓRIO</t>
  </si>
  <si>
    <t xml:space="preserve">APS BUTIÁ</t>
  </si>
  <si>
    <t xml:space="preserve">APS SÃO JERÔNIMO</t>
  </si>
  <si>
    <t xml:space="preserve">APS TAQUARI</t>
  </si>
  <si>
    <t xml:space="preserve">Pedágio (ida e volta)</t>
  </si>
  <si>
    <t xml:space="preserve">RIO GRANDE DO SUL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</si>
  <si>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</si>
  <si>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</si>
  <si>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</si>
  <si>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</si>
  <si>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</si>
  <si>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01/2025</t>
  </si>
  <si>
    <t xml:space="preserve">Custo do insumo (h)</t>
  </si>
  <si>
    <t xml:space="preserve">Encargos Sociais (*) - (ES)</t>
  </si>
  <si>
    <t xml:space="preserve">Apêndice 21: Encargos Sociais – Rio Grande do Sul</t>
  </si>
  <si>
    <t xml:space="preserve">Horista Desonerado</t>
  </si>
  <si>
    <t xml:space="preserve">Horista Não Desonerado</t>
  </si>
  <si>
    <t xml:space="preserve">Cálculo custo do funcionário</t>
  </si>
  <si>
    <r>
      <rPr>
        <sz val="11"/>
        <color rgb="FF00000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</si>
  <si>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</si>
  <si>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</si>
  <si>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</si>
  <si>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</si>
  <si>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Código</t>
  </si>
  <si>
    <t xml:space="preserve">ENGENHEIRO ELETRICISTA COM ENCARGOS COMPLEMENTARES</t>
  </si>
  <si>
    <t xml:space="preserve">Data</t>
  </si>
  <si>
    <t xml:space="preserve">Estado</t>
  </si>
  <si>
    <t xml:space="preserve">Tipo</t>
  </si>
  <si>
    <t xml:space="preserve">SEDI - SERVIÇOS DIVERSOS</t>
  </si>
  <si>
    <t xml:space="preserve">H</t>
  </si>
  <si>
    <t xml:space="preserve">Valor Não Desonerado</t>
  </si>
  <si>
    <t xml:space="preserve">codigo</t>
  </si>
  <si>
    <t xml:space="preserve">Valor Unitário Não Desonerado</t>
  </si>
  <si>
    <t xml:space="preserve">Coeficiente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</si>
  <si>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</si>
  <si>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</si>
  <si>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</si>
  <si>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</si>
  <si>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</si>
  <si>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</si>
  <si>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</si>
  <si>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</si>
  <si>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</si>
  <si>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</si>
  <si>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</si>
  <si>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</si>
  <si>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</si>
  <si>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</si>
  <si>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</si>
  <si>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</si>
  <si>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</si>
  <si>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</si>
  <si>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Oficial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</si>
  <si>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</si>
  <si>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RS002811/2024</t>
    </r>
  </si>
  <si>
    <t xml:space="preserve">Abrangência</t>
  </si>
  <si>
    <t xml:space="preserve">Trabalhadores das indústrias da construção civil de Porto Alegre/RS e região</t>
  </si>
  <si>
    <t xml:space="preserve">Salário base (SB)</t>
  </si>
  <si>
    <t xml:space="preserve">Encargos Sociais (**) - (ES)
Apêndice 21: Encargos Sociais – Rio Grande do Sul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</si>
  <si>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</si>
  <si>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</si>
  <si>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</si>
  <si>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</si>
  <si>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</si>
  <si>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</si>
  <si>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</si>
  <si>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</si>
  <si>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</si>
  <si>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</si>
  <si>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</si>
  <si>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</si>
  <si>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</si>
  <si>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</t>
  </si>
  <si>
    <t xml:space="preserve">CURSO DE CAPACITAÇÃO PARA ELETRICISTA (ENCARGOS COMPLEMENTARES) - HORISTA</t>
  </si>
  <si>
    <t xml:space="preserve">Pesquisa de mercado</t>
  </si>
  <si>
    <t xml:space="preserve">OFICIAL DE MANUTENÇÃO PREDIAL (OFICIAL/PROFISSIONAL CCT RS002811/2024)</t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</si>
  <si>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</si>
  <si>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</si>
  <si>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</si>
  <si>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</si>
  <si>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</si>
  <si>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</si>
  <si>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COMPOSIÇÃO CUSTO DO VEÍCULO</t>
  </si>
  <si>
    <t xml:space="preserve">Composição ALTERADA SINAPI – 92145 (SEM MOTORISTA)</t>
  </si>
  <si>
    <t xml:space="preserve">92145</t>
  </si>
  <si>
    <t xml:space="preserve">CAMINHONETE CABINE SIMPLES COM MOTOR 1.6 FLEX, CÂMBIO MANUAL, POTÊNCIA 101/104 CV, 2 PORTAS - CHP DIURNO. AF_11/2015</t>
  </si>
  <si>
    <t xml:space="preserve">Rio Grande do Sul</t>
  </si>
  <si>
    <t xml:space="preserve">CHOR - CUSTOS HORÁRIOS DE MÁQUINAS E EQUIPAMENTOS</t>
  </si>
  <si>
    <t xml:space="preserve">92140</t>
  </si>
  <si>
    <t xml:space="preserve">CAMINHONETE CABINE SIMPLES COM MOTOR 1.6 FLEX, CÂMBIO MANUAL, POTÊNCIA 101/104 CV, 2 PORTAS - DEPRECIAÇÃO. AF_11/2015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</si>
  <si>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</si>
  <si>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</si>
  <si>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</si>
  <si>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</si>
  <si>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</si>
  <si>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</si>
  <si>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</si>
  <si>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</si>
  <si>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</si>
  <si>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</si>
  <si>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</si>
  <si>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</si>
  <si>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</si>
  <si>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</si>
  <si>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</si>
  <si>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</si>
  <si>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</si>
  <si>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</si>
  <si>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</si>
  <si>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</si>
  <si>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</si>
  <si>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Júlio de Castilhos, 291</t>
  </si>
  <si>
    <t xml:space="preserve">NÃO</t>
  </si>
  <si>
    <t xml:space="preserve">Rua Dona Carlinda, 810</t>
  </si>
  <si>
    <t xml:space="preserve">SIM</t>
  </si>
  <si>
    <t xml:space="preserve">Rua Vereador Ubaldo Baldasso, 268</t>
  </si>
  <si>
    <t xml:space="preserve">Rua Coronel Pena de Moraes, 59-A</t>
  </si>
  <si>
    <t xml:space="preserve">Rua Borges de Medeiros, 2110</t>
  </si>
  <si>
    <t xml:space="preserve">Rua João Missiaggia, 159</t>
  </si>
  <si>
    <t xml:space="preserve">Rua Marquês do Herval, 761</t>
  </si>
  <si>
    <t xml:space="preserve">Av. da Vindima, 165</t>
  </si>
  <si>
    <t xml:space="preserve">Rua Visconde de Pelotas, 2280</t>
  </si>
  <si>
    <t xml:space="preserve">CANOAS</t>
  </si>
  <si>
    <t xml:space="preserve">Av. do Riacho, 235</t>
  </si>
  <si>
    <t xml:space="preserve">Rua Bento Gonçalves, 1891, Centro</t>
  </si>
  <si>
    <t xml:space="preserve">Rua Rodolfo Dick, 129, Centro</t>
  </si>
  <si>
    <t xml:space="preserve">Av. Sapiranga, 665, Centro</t>
  </si>
  <si>
    <t xml:space="preserve">APS ENCANTADO</t>
  </si>
  <si>
    <t xml:space="preserve">Rua João Luca, 186 / Duque de Caxias, Centro</t>
  </si>
  <si>
    <t xml:space="preserve">Av. Barão do Rio Branco, 553, Centro</t>
  </si>
  <si>
    <t xml:space="preserve">Rua Cel. Júlio May, 477, Centro</t>
  </si>
  <si>
    <t xml:space="preserve">Rua Olávo Bilac, 1284, Centro</t>
  </si>
  <si>
    <t xml:space="preserve">Av. Pedro Adams Filho, 5757, Térreo, Centro</t>
  </si>
  <si>
    <t xml:space="preserve">Rua Rondônia, 233</t>
  </si>
  <si>
    <t xml:space="preserve">Rua Conceição, 364, Centro</t>
  </si>
  <si>
    <t xml:space="preserve">Rua Benjamin Constant, 182, Centro</t>
  </si>
  <si>
    <t xml:space="preserve">Av. João Correa, 1622, Centro</t>
  </si>
  <si>
    <t xml:space="preserve">Rua Guilherme Lahm, 1508, Centro</t>
  </si>
  <si>
    <t xml:space="preserve">Rua Osvaldo Aranha, 2536, Centro</t>
  </si>
  <si>
    <t xml:space="preserve">Av. Um Norte, 315, Centro</t>
  </si>
  <si>
    <t xml:space="preserve">Rua Felipe Bender, S/N, Centro</t>
  </si>
  <si>
    <t xml:space="preserve">Rua Tamandaré, 221, Pátria Nova</t>
  </si>
  <si>
    <t xml:space="preserve">Av. Leandro de Almeida, 356</t>
  </si>
  <si>
    <t xml:space="preserve">Rua Firmiano Osório, 949, Centro</t>
  </si>
  <si>
    <t xml:space="preserve">Rua Coronel Vitor Villa-Verde, 2, Centro</t>
  </si>
  <si>
    <t xml:space="preserve">Rua Rio Branco, 384,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</si>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</sst>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_);[RED]\(#,##0.00\)"/>
    <numFmt numFmtId="173" formatCode="#,##0.00\ ;[RED]\(#,##0.00\)"/>
    <numFmt numFmtId="174" formatCode="0.00%"/>
    <numFmt numFmtId="175" formatCode="#,##0.0"/>
    <numFmt numFmtId="176" formatCode="#,##0"/>
    <numFmt numFmtId="177" formatCode="_-* #,##0.00_-;\-* #,##0.00_-;_-* \-??_-;_-@_-"/>
    <numFmt numFmtId="178" formatCode="0"/>
    <numFmt numFmtId="179" formatCode="d/m/yyyy"/>
    <numFmt numFmtId="180" formatCode="&quot;R$ &quot;#,##0.00"/>
    <numFmt numFmtId="181" formatCode="@"/>
    <numFmt numFmtId="182" formatCode="mm/yy"/>
    <numFmt numFmtId="183" formatCode="&quot;R$ &quot;#,##0.00;[RED]&quot;-R$ &quot;#,##0.00"/>
  </numFmts>
  <fonts count="3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b val="true"/>
      <sz val="10"/>
      <color theme="1"/>
      <name val="Arial"/>
      <family val="1"/>
      <charset val="1"/>
    </font>
    <font>
      <sz val="12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0"/>
        <bgColor rgb="FFEEEEEE"/>
      </patternFill>
    </fill>
    <fill>
      <patternFill patternType="solid">
        <fgColor theme="2" tint="-0.05"/>
        <bgColor rgb="FFD9D9D9"/>
      </patternFill>
    </fill>
    <fill>
      <patternFill patternType="solid">
        <fgColor theme="2" tint="-0.15"/>
        <bgColor rgb="FFC9C9C9"/>
      </patternFill>
    </fill>
    <fill>
      <patternFill patternType="solid">
        <fgColor theme="6" tint="0.3998"/>
        <bgColor rgb="FFC5C3C3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3" fillId="6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6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6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6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7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81" fontId="22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3" fillId="6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2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4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4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22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4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2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81" fontId="22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7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2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4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2" fontId="22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7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6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3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4" fontId="13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4" fontId="13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C3C3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9C9C9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>
      <xdr:nvSpPr>
        <xdr:cNvPr id="0" name="CustomShape 1"/>
        <xdr:cNvSpPr/>
      </xdr:nvSpPr>
      <xdr:spPr>
        <a:xfrm>
          <a:off x="248940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00564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20880</xdr:rowOff>
    </xdr:from>
    <xdr:to>
      <xdr:col>2</xdr:col>
      <xdr:colOff>2772720</xdr:colOff>
      <xdr:row>21</xdr:row>
      <xdr:rowOff>821160</xdr:rowOff>
    </xdr:to>
    <xdr:pic>
      <xdr:nvPicPr>
        <xdr:cNvPr id="2" name="Figura 1" descr=""/>
        <xdr:cNvPicPr/>
      </xdr:nvPicPr>
      <xdr:blipFill>
        <a:blip r:embed="rId1"/>
        <a:srcRect l="7851" t="45769" r="13913" b="37680"/>
        <a:stretch/>
      </xdr:blipFill>
      <xdr:spPr>
        <a:xfrm>
          <a:off x="435600" y="4021560"/>
          <a:ext cx="6433560" cy="800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142560</xdr:colOff>
      <xdr:row>25</xdr:row>
      <xdr:rowOff>61560</xdr:rowOff>
    </xdr:from>
    <xdr:to>
      <xdr:col>2</xdr:col>
      <xdr:colOff>2702520</xdr:colOff>
      <xdr:row>29</xdr:row>
      <xdr:rowOff>42480</xdr:rowOff>
    </xdr:to>
    <xdr:pic>
      <xdr:nvPicPr>
        <xdr:cNvPr id="3" name="Figura 2" descr=""/>
        <xdr:cNvPicPr/>
      </xdr:nvPicPr>
      <xdr:blipFill>
        <a:blip r:embed="rId2"/>
        <a:srcRect l="17758" t="51097" r="20982" b="38294"/>
        <a:stretch/>
      </xdr:blipFill>
      <xdr:spPr>
        <a:xfrm>
          <a:off x="578160" y="6195600"/>
          <a:ext cx="6220800" cy="628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6.12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10" t="s">
        <v>9</v>
      </c>
    </row>
    <row r="11" customFormat="false" ht="81" hidden="false" customHeight="true" outlineLevel="0" collapsed="false">
      <c r="B11" s="11" t="n">
        <v>4</v>
      </c>
      <c r="C11" s="12" t="s">
        <v>10</v>
      </c>
      <c r="D11" s="13" t="s">
        <v>11</v>
      </c>
      <c r="E11" s="13" t="n">
        <v>24</v>
      </c>
      <c r="F11" s="14" t="n">
        <f aca="false">ROUND(Resumo!D7+Resumo!F7,2)</f>
        <v>120517.93</v>
      </c>
      <c r="G11" s="15" t="n">
        <f aca="false">F11*E11</f>
        <v>2892430.32</v>
      </c>
    </row>
    <row r="12" customFormat="false" ht="42" hidden="false" customHeight="true" outlineLevel="0" collapsed="false">
      <c r="B12" s="16" t="s">
        <v>12</v>
      </c>
      <c r="C12" s="16"/>
      <c r="D12" s="16"/>
      <c r="E12" s="16"/>
      <c r="F12" s="16"/>
      <c r="G12" s="16"/>
    </row>
    <row r="14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B23" activeCellId="0" sqref="B23"/>
    </sheetView>
  </sheetViews>
  <sheetFormatPr defaultColWidth="10.125" defaultRowHeight="12.75" zeroHeight="false" outlineLevelRow="0" outlineLevelCol="0"/>
  <cols>
    <col collapsed="false" customWidth="true" hidden="false" outlineLevel="0" max="1" min="1" style="164" width="5.62"/>
    <col collapsed="false" customWidth="true" hidden="false" outlineLevel="0" max="2" min="2" style="164" width="47.25"/>
    <col collapsed="false" customWidth="true" hidden="false" outlineLevel="0" max="3" min="3" style="164" width="37.12"/>
    <col collapsed="false" customWidth="true" hidden="false" outlineLevel="0" max="4" min="4" style="164" width="29.88"/>
    <col collapsed="false" customWidth="true" hidden="false" outlineLevel="0" max="5" min="5" style="164" width="14.25"/>
    <col collapsed="false" customWidth="false" hidden="false" outlineLevel="0" max="16384" min="6" style="164" width="10.12"/>
  </cols>
  <sheetData>
    <row r="1" customFormat="false" ht="15" hidden="false" customHeight="true" outlineLevel="0" collapsed="false"/>
    <row r="2" customFormat="false" ht="12.75" hidden="false" customHeight="false" outlineLevel="0" collapsed="false">
      <c r="C2" s="199" t="s">
        <v>153</v>
      </c>
    </row>
    <row r="3" customFormat="false" ht="12.75" hidden="false" customHeight="false" outlineLevel="0" collapsed="false">
      <c r="B3" s="166" t="s">
        <v>199</v>
      </c>
      <c r="C3" s="199" t="s">
        <v>200</v>
      </c>
    </row>
    <row r="4" customFormat="false" ht="15" hidden="false" customHeight="false" outlineLevel="0" collapsed="false">
      <c r="B4" s="166" t="s">
        <v>201</v>
      </c>
      <c r="C4" s="200" t="s">
        <v>202</v>
      </c>
    </row>
    <row r="5" customFormat="false" ht="14.25" hidden="false" customHeight="false" outlineLevel="0" collapsed="false">
      <c r="B5" s="166" t="s">
        <v>158</v>
      </c>
      <c r="C5" s="200" t="n">
        <v>45444</v>
      </c>
    </row>
    <row r="6" customFormat="false" ht="25.5" hidden="false" customHeight="false" outlineLevel="0" collapsed="false">
      <c r="B6" s="166" t="s">
        <v>203</v>
      </c>
      <c r="C6" s="167" t="s">
        <v>204</v>
      </c>
    </row>
    <row r="7" customFormat="false" ht="12.75" hidden="false" customHeight="false" outlineLevel="0" collapsed="false">
      <c r="B7" s="166" t="s">
        <v>205</v>
      </c>
      <c r="C7" s="168" t="n">
        <v>2228.6</v>
      </c>
    </row>
    <row r="8" customFormat="false" ht="12.75" hidden="false" customHeight="false" outlineLevel="0" collapsed="false">
      <c r="B8" s="201"/>
      <c r="C8" s="202"/>
    </row>
    <row r="9" customFormat="false" ht="25.5" hidden="false" customHeight="false" outlineLevel="0" collapsed="false">
      <c r="B9" s="171" t="s">
        <v>206</v>
      </c>
      <c r="C9" s="166"/>
    </row>
    <row r="10" customFormat="false" ht="13.5" hidden="false" customHeight="false" outlineLevel="0" collapsed="false">
      <c r="B10" s="166" t="s">
        <v>163</v>
      </c>
      <c r="C10" s="173" t="n">
        <v>0.9022</v>
      </c>
    </row>
    <row r="11" customFormat="false" ht="13.5" hidden="false" customHeight="false" outlineLevel="0" collapsed="false">
      <c r="B11" s="166" t="s">
        <v>207</v>
      </c>
      <c r="C11" s="173" t="n">
        <v>0.5186</v>
      </c>
    </row>
    <row r="12" customFormat="false" ht="13.5" hidden="false" customHeight="false" outlineLevel="0" collapsed="false">
      <c r="B12" s="166" t="s">
        <v>164</v>
      </c>
      <c r="C12" s="173" t="n">
        <v>1.1284</v>
      </c>
    </row>
    <row r="13" customFormat="false" ht="13.5" hidden="false" customHeight="false" outlineLevel="0" collapsed="false">
      <c r="B13" s="166" t="s">
        <v>208</v>
      </c>
      <c r="C13" s="173" t="n">
        <v>0.6995</v>
      </c>
    </row>
    <row r="14" customFormat="false" ht="13.5" hidden="false" customHeight="true" outlineLevel="0" collapsed="false">
      <c r="B14" s="201"/>
      <c r="C14" s="201"/>
    </row>
    <row r="15" customFormat="false" ht="12.75" hidden="false" customHeight="false" outlineLevel="0" collapsed="false">
      <c r="B15" s="174" t="s">
        <v>209</v>
      </c>
      <c r="C15" s="175"/>
    </row>
    <row r="16" customFormat="false" ht="15.75" hidden="false" customHeight="false" outlineLevel="0" collapsed="false">
      <c r="B16" s="176" t="s">
        <v>210</v>
      </c>
      <c r="C16" s="175" t="n">
        <f aca="false">C7*(1+C11)</f>
        <v>3384.35196</v>
      </c>
      <c r="D16" s="203"/>
      <c r="E16" s="203"/>
    </row>
    <row r="17" customFormat="false" ht="15.75" hidden="false" customHeight="false" outlineLevel="0" collapsed="false">
      <c r="B17" s="176" t="s">
        <v>211</v>
      </c>
      <c r="C17" s="175" t="n">
        <f aca="false">C7*(1+C13)</f>
        <v>3787.5057</v>
      </c>
      <c r="D17" s="203"/>
      <c r="E17" s="203"/>
    </row>
    <row r="18" customFormat="false" ht="15.75" hidden="false" customHeight="false" outlineLevel="0" collapsed="false">
      <c r="B18" s="176" t="s">
        <v>212</v>
      </c>
      <c r="C18" s="204" t="n">
        <f aca="false">C16*(1+C10)/(220*(1+C11))</f>
        <v>19.269286</v>
      </c>
      <c r="D18" s="205"/>
      <c r="E18" s="203"/>
    </row>
    <row r="19" customFormat="false" ht="15.75" hidden="false" customHeight="false" outlineLevel="0" collapsed="false">
      <c r="B19" s="176" t="s">
        <v>213</v>
      </c>
      <c r="C19" s="204" t="n">
        <f aca="false">(C17*(1+C12)/(220*(1+C13)))</f>
        <v>21.560692</v>
      </c>
      <c r="D19" s="205"/>
      <c r="E19" s="203"/>
    </row>
    <row r="21" customFormat="false" ht="12.75" hidden="false" customHeight="false" outlineLevel="0" collapsed="false">
      <c r="B21" s="164" t="s">
        <v>214</v>
      </c>
    </row>
    <row r="22" customFormat="false" ht="69.75" hidden="false" customHeight="true" outlineLevel="0" collapsed="false"/>
    <row r="23" customFormat="false" ht="34.5" hidden="false" customHeight="true" outlineLevel="0" collapsed="false">
      <c r="B23" s="180" t="s">
        <v>168</v>
      </c>
      <c r="C23" s="180"/>
    </row>
    <row r="24" customFormat="false" ht="33.75" hidden="false" customHeight="true" outlineLevel="0" collapsed="false">
      <c r="B24" s="180" t="s">
        <v>215</v>
      </c>
      <c r="C24" s="180"/>
    </row>
    <row r="25" customFormat="false" ht="30" hidden="false" customHeight="true" outlineLevel="0" collapsed="false">
      <c r="B25" s="180" t="s">
        <v>216</v>
      </c>
      <c r="C25" s="180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G16" activeCellId="0" sqref="G16"/>
    </sheetView>
  </sheetViews>
  <sheetFormatPr defaultColWidth="8.125" defaultRowHeight="12.7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2.88"/>
    <col collapsed="false" customWidth="true" hidden="false" outlineLevel="0" max="3" min="3" style="181" width="11.75"/>
    <col collapsed="false" customWidth="true" hidden="false" outlineLevel="0" max="4" min="4" style="181" width="57.75"/>
    <col collapsed="false" customWidth="true" hidden="false" outlineLevel="0" max="5" min="5" style="181" width="28.88"/>
    <col collapsed="false" customWidth="true" hidden="false" outlineLevel="0" max="6" min="6" style="181" width="9.62"/>
    <col collapsed="false" customWidth="true" hidden="false" outlineLevel="0" max="7" min="7" style="181" width="13.25"/>
    <col collapsed="false" customWidth="true" hidden="false" outlineLevel="0" max="8" min="8" style="181" width="11.5"/>
    <col collapsed="false" customWidth="true" hidden="false" outlineLevel="0" max="9" min="9" style="181" width="13.5"/>
    <col collapsed="false" customWidth="true" hidden="false" outlineLevel="0" max="1026" min="10" style="181" width="8.25"/>
    <col collapsed="false" customWidth="false" hidden="false" outlineLevel="0" max="16384" min="1027" style="181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2" t="s">
        <v>217</v>
      </c>
      <c r="C2" s="182"/>
      <c r="D2" s="182"/>
      <c r="E2" s="182"/>
      <c r="F2" s="182"/>
      <c r="G2" s="182"/>
      <c r="H2" s="182"/>
      <c r="I2" s="182"/>
    </row>
    <row r="3" customFormat="false" ht="21" hidden="false" customHeight="true" outlineLevel="0" collapsed="false"/>
    <row r="4" customFormat="false" ht="16.5" hidden="false" customHeight="true" outlineLevel="0" collapsed="false">
      <c r="B4" s="183" t="s">
        <v>218</v>
      </c>
      <c r="C4" s="183"/>
      <c r="D4" s="183"/>
      <c r="E4" s="183"/>
      <c r="F4" s="183"/>
      <c r="G4" s="183"/>
      <c r="H4" s="183"/>
      <c r="I4" s="183"/>
    </row>
    <row r="5" customFormat="false" ht="16.5" hidden="false" customHeight="true" outlineLevel="0" collapsed="false">
      <c r="B5" s="184" t="s">
        <v>171</v>
      </c>
      <c r="C5" s="184"/>
      <c r="D5" s="185" t="n">
        <v>88264</v>
      </c>
      <c r="E5" s="185"/>
      <c r="F5" s="185"/>
      <c r="G5" s="185"/>
      <c r="H5" s="185"/>
      <c r="I5" s="185"/>
    </row>
    <row r="6" customFormat="false" ht="16.5" hidden="false" customHeight="true" outlineLevel="0" collapsed="false">
      <c r="B6" s="184" t="s">
        <v>118</v>
      </c>
      <c r="C6" s="184"/>
      <c r="D6" s="185" t="s">
        <v>219</v>
      </c>
      <c r="E6" s="185"/>
      <c r="F6" s="185"/>
      <c r="G6" s="185"/>
      <c r="H6" s="185"/>
      <c r="I6" s="185"/>
    </row>
    <row r="7" customFormat="false" ht="16.5" hidden="false" customHeight="true" outlineLevel="0" collapsed="false">
      <c r="B7" s="184" t="s">
        <v>173</v>
      </c>
      <c r="C7" s="184"/>
      <c r="D7" s="206" t="s">
        <v>159</v>
      </c>
      <c r="E7" s="206"/>
      <c r="F7" s="206"/>
      <c r="G7" s="206"/>
      <c r="H7" s="206"/>
      <c r="I7" s="206"/>
    </row>
    <row r="8" customFormat="false" ht="16.5" hidden="false" customHeight="true" outlineLevel="0" collapsed="false">
      <c r="B8" s="184" t="s">
        <v>174</v>
      </c>
      <c r="C8" s="184"/>
      <c r="D8" s="185" t="s">
        <v>153</v>
      </c>
      <c r="E8" s="185"/>
      <c r="F8" s="185"/>
      <c r="G8" s="185"/>
      <c r="H8" s="185"/>
      <c r="I8" s="185"/>
    </row>
    <row r="9" customFormat="false" ht="16.5" hidden="false" customHeight="true" outlineLevel="0" collapsed="false">
      <c r="B9" s="184" t="s">
        <v>175</v>
      </c>
      <c r="C9" s="184"/>
      <c r="D9" s="185" t="s">
        <v>176</v>
      </c>
      <c r="E9" s="185"/>
      <c r="F9" s="185"/>
      <c r="G9" s="185"/>
      <c r="H9" s="185"/>
      <c r="I9" s="185"/>
    </row>
    <row r="10" customFormat="false" ht="16.5" hidden="false" customHeight="true" outlineLevel="0" collapsed="false">
      <c r="B10" s="184" t="s">
        <v>119</v>
      </c>
      <c r="C10" s="184"/>
      <c r="D10" s="185" t="s">
        <v>177</v>
      </c>
      <c r="E10" s="185"/>
      <c r="F10" s="185"/>
      <c r="G10" s="185"/>
      <c r="H10" s="185"/>
      <c r="I10" s="185"/>
    </row>
    <row r="11" customFormat="false" ht="23.25" hidden="false" customHeight="true" outlineLevel="0" collapsed="false">
      <c r="B11" s="187" t="s">
        <v>178</v>
      </c>
      <c r="C11" s="187"/>
      <c r="D11" s="188" t="n">
        <f aca="false">SUM(I14:I22)</f>
        <v>28.820692</v>
      </c>
      <c r="E11" s="188"/>
      <c r="F11" s="188"/>
      <c r="G11" s="188"/>
      <c r="H11" s="188"/>
      <c r="I11" s="188"/>
    </row>
    <row r="12" customFormat="false" ht="15.75" hidden="false" customHeight="true" outlineLevel="0" collapsed="false">
      <c r="B12" s="189"/>
      <c r="C12" s="189"/>
      <c r="D12" s="190"/>
      <c r="E12" s="190"/>
      <c r="F12" s="190"/>
      <c r="G12" s="190"/>
      <c r="H12" s="190"/>
      <c r="I12" s="190"/>
    </row>
    <row r="13" customFormat="false" ht="45" hidden="false" customHeight="false" outlineLevel="0" collapsed="false">
      <c r="B13" s="191"/>
      <c r="C13" s="191" t="s">
        <v>179</v>
      </c>
      <c r="D13" s="191" t="s">
        <v>118</v>
      </c>
      <c r="E13" s="191" t="s">
        <v>175</v>
      </c>
      <c r="F13" s="191" t="s">
        <v>119</v>
      </c>
      <c r="G13" s="191" t="s">
        <v>180</v>
      </c>
      <c r="H13" s="191" t="s">
        <v>181</v>
      </c>
      <c r="I13" s="192" t="s">
        <v>178</v>
      </c>
    </row>
    <row r="14" customFormat="false" ht="27.75" hidden="false" customHeight="true" outlineLevel="0" collapsed="false">
      <c r="B14" s="193" t="s">
        <v>220</v>
      </c>
      <c r="C14" s="193" t="n">
        <v>95332</v>
      </c>
      <c r="D14" s="193" t="s">
        <v>221</v>
      </c>
      <c r="E14" s="193" t="s">
        <v>176</v>
      </c>
      <c r="F14" s="193" t="s">
        <v>177</v>
      </c>
      <c r="G14" s="207" t="n">
        <v>0.86</v>
      </c>
      <c r="H14" s="196" t="n">
        <v>1</v>
      </c>
      <c r="I14" s="197" t="n">
        <f aca="false">G14*H14</f>
        <v>0.86</v>
      </c>
      <c r="J14" s="198"/>
      <c r="K14" s="198"/>
    </row>
    <row r="15" customFormat="false" ht="32.25" hidden="false" customHeight="true" outlineLevel="0" collapsed="false">
      <c r="B15" s="193" t="s">
        <v>182</v>
      </c>
      <c r="C15" s="193" t="s">
        <v>222</v>
      </c>
      <c r="D15" s="193" t="s">
        <v>223</v>
      </c>
      <c r="E15" s="193" t="s">
        <v>187</v>
      </c>
      <c r="F15" s="193" t="s">
        <v>177</v>
      </c>
      <c r="G15" s="207" t="n">
        <f aca="false">'Custo Oficial de Manutenção'!C19</f>
        <v>21.560692</v>
      </c>
      <c r="H15" s="196" t="n">
        <v>1</v>
      </c>
      <c r="I15" s="197" t="n">
        <f aca="false">G15*H15</f>
        <v>21.560692</v>
      </c>
      <c r="J15" s="198"/>
      <c r="K15" s="198"/>
    </row>
    <row r="16" customFormat="false" ht="42" hidden="false" customHeight="true" outlineLevel="0" collapsed="false">
      <c r="B16" s="193" t="s">
        <v>182</v>
      </c>
      <c r="C16" s="193" t="n">
        <v>37370</v>
      </c>
      <c r="D16" s="193" t="s">
        <v>224</v>
      </c>
      <c r="E16" s="193" t="s">
        <v>190</v>
      </c>
      <c r="F16" s="193" t="s">
        <v>177</v>
      </c>
      <c r="G16" s="207" t="n">
        <v>1.46</v>
      </c>
      <c r="H16" s="196" t="n">
        <v>1</v>
      </c>
      <c r="I16" s="197" t="n">
        <f aca="false">G16*H16</f>
        <v>1.46</v>
      </c>
      <c r="J16" s="198"/>
      <c r="K16" s="198"/>
    </row>
    <row r="17" customFormat="false" ht="27.75" hidden="false" customHeight="true" outlineLevel="0" collapsed="false">
      <c r="B17" s="193" t="s">
        <v>182</v>
      </c>
      <c r="C17" s="193" t="n">
        <v>37371</v>
      </c>
      <c r="D17" s="193" t="s">
        <v>225</v>
      </c>
      <c r="E17" s="193" t="s">
        <v>226</v>
      </c>
      <c r="F17" s="193" t="s">
        <v>177</v>
      </c>
      <c r="G17" s="207" t="n">
        <v>1</v>
      </c>
      <c r="H17" s="196" t="n">
        <v>1</v>
      </c>
      <c r="I17" s="197" t="n">
        <f aca="false">G17*H17</f>
        <v>1</v>
      </c>
      <c r="J17" s="198"/>
      <c r="K17" s="198"/>
    </row>
    <row r="18" customFormat="false" ht="42" hidden="false" customHeight="true" outlineLevel="0" collapsed="false">
      <c r="B18" s="193" t="s">
        <v>182</v>
      </c>
      <c r="C18" s="193" t="n">
        <v>37372</v>
      </c>
      <c r="D18" s="193" t="s">
        <v>189</v>
      </c>
      <c r="E18" s="193" t="s">
        <v>190</v>
      </c>
      <c r="F18" s="193" t="s">
        <v>177</v>
      </c>
      <c r="G18" s="207" t="n">
        <v>1.43</v>
      </c>
      <c r="H18" s="196" t="n">
        <v>1</v>
      </c>
      <c r="I18" s="197" t="n">
        <f aca="false">G18*H18</f>
        <v>1.43</v>
      </c>
      <c r="J18" s="198"/>
      <c r="K18" s="198"/>
    </row>
    <row r="19" customFormat="false" ht="27.75" hidden="false" customHeight="true" outlineLevel="0" collapsed="false">
      <c r="B19" s="193" t="s">
        <v>182</v>
      </c>
      <c r="C19" s="193" t="n">
        <v>37373</v>
      </c>
      <c r="D19" s="193" t="s">
        <v>192</v>
      </c>
      <c r="E19" s="193" t="s">
        <v>193</v>
      </c>
      <c r="F19" s="193" t="s">
        <v>177</v>
      </c>
      <c r="G19" s="207" t="n">
        <v>0.08</v>
      </c>
      <c r="H19" s="196" t="n">
        <v>1</v>
      </c>
      <c r="I19" s="197" t="n">
        <f aca="false">G19*H19</f>
        <v>0.08</v>
      </c>
      <c r="J19" s="198"/>
      <c r="K19" s="198"/>
    </row>
    <row r="20" customFormat="false" ht="27.75" hidden="false" customHeight="true" outlineLevel="0" collapsed="false">
      <c r="B20" s="193" t="s">
        <v>182</v>
      </c>
      <c r="C20" s="193" t="n">
        <v>43460</v>
      </c>
      <c r="D20" s="193" t="s">
        <v>227</v>
      </c>
      <c r="E20" s="193" t="s">
        <v>196</v>
      </c>
      <c r="F20" s="193" t="s">
        <v>177</v>
      </c>
      <c r="G20" s="207" t="n">
        <v>0.86</v>
      </c>
      <c r="H20" s="196" t="n">
        <v>1</v>
      </c>
      <c r="I20" s="197" t="n">
        <f aca="false">G20*H20</f>
        <v>0.86</v>
      </c>
      <c r="J20" s="198"/>
      <c r="K20" s="198"/>
    </row>
    <row r="21" customFormat="false" ht="29.25" hidden="false" customHeight="true" outlineLevel="0" collapsed="false">
      <c r="B21" s="208" t="s">
        <v>182</v>
      </c>
      <c r="C21" s="208" t="n">
        <v>43461</v>
      </c>
      <c r="D21" s="208" t="s">
        <v>228</v>
      </c>
      <c r="E21" s="208" t="s">
        <v>196</v>
      </c>
      <c r="F21" s="208" t="s">
        <v>177</v>
      </c>
      <c r="G21" s="209" t="n">
        <v>0.31</v>
      </c>
      <c r="H21" s="210" t="n">
        <v>1</v>
      </c>
      <c r="I21" s="211" t="n">
        <f aca="false">G21*H21</f>
        <v>0.31</v>
      </c>
      <c r="J21" s="198"/>
      <c r="K21" s="198"/>
    </row>
    <row r="22" customFormat="false" ht="27.75" hidden="false" customHeight="true" outlineLevel="0" collapsed="false">
      <c r="B22" s="193" t="s">
        <v>182</v>
      </c>
      <c r="C22" s="193" t="n">
        <v>43484</v>
      </c>
      <c r="D22" s="193" t="s">
        <v>229</v>
      </c>
      <c r="E22" s="193" t="s">
        <v>196</v>
      </c>
      <c r="F22" s="193" t="s">
        <v>177</v>
      </c>
      <c r="G22" s="207" t="n">
        <v>1.26</v>
      </c>
      <c r="H22" s="196" t="n">
        <v>1</v>
      </c>
      <c r="I22" s="197" t="n">
        <f aca="false">G22*H22</f>
        <v>1.26</v>
      </c>
      <c r="J22" s="198"/>
      <c r="K22" s="198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L29" activeCellId="0" sqref="L2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5.88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2" t="s">
        <v>230</v>
      </c>
      <c r="C2" s="212"/>
      <c r="D2" s="212"/>
      <c r="E2" s="212"/>
      <c r="F2" s="212"/>
      <c r="G2" s="212"/>
      <c r="H2" s="212"/>
      <c r="I2" s="212"/>
    </row>
    <row r="3" customFormat="false" ht="21" hidden="false" customHeight="true" outlineLevel="0" collapsed="false"/>
    <row r="4" customFormat="false" ht="16.5" hidden="false" customHeight="true" outlineLevel="0" collapsed="false">
      <c r="B4" s="213" t="s">
        <v>231</v>
      </c>
      <c r="C4" s="213"/>
      <c r="D4" s="213"/>
      <c r="E4" s="213"/>
      <c r="F4" s="213"/>
      <c r="G4" s="213"/>
      <c r="H4" s="213"/>
      <c r="I4" s="213"/>
    </row>
    <row r="5" customFormat="false" ht="16.5" hidden="false" customHeight="true" outlineLevel="0" collapsed="false">
      <c r="B5" s="214" t="s">
        <v>171</v>
      </c>
      <c r="C5" s="214"/>
      <c r="D5" s="215" t="s">
        <v>232</v>
      </c>
      <c r="E5" s="215"/>
      <c r="F5" s="215"/>
      <c r="G5" s="215"/>
      <c r="H5" s="215"/>
      <c r="I5" s="215"/>
    </row>
    <row r="6" customFormat="false" ht="16.5" hidden="false" customHeight="true" outlineLevel="0" collapsed="false">
      <c r="B6" s="214" t="s">
        <v>118</v>
      </c>
      <c r="C6" s="214"/>
      <c r="D6" s="215" t="s">
        <v>233</v>
      </c>
      <c r="E6" s="215"/>
      <c r="F6" s="215"/>
      <c r="G6" s="215"/>
      <c r="H6" s="215"/>
      <c r="I6" s="215"/>
    </row>
    <row r="7" customFormat="false" ht="16.5" hidden="false" customHeight="true" outlineLevel="0" collapsed="false">
      <c r="B7" s="214" t="s">
        <v>173</v>
      </c>
      <c r="C7" s="214"/>
      <c r="D7" s="216" t="s">
        <v>159</v>
      </c>
      <c r="E7" s="216"/>
      <c r="F7" s="216"/>
      <c r="G7" s="216"/>
      <c r="H7" s="216"/>
      <c r="I7" s="216"/>
    </row>
    <row r="8" customFormat="false" ht="16.5" hidden="false" customHeight="true" outlineLevel="0" collapsed="false">
      <c r="B8" s="214" t="s">
        <v>174</v>
      </c>
      <c r="C8" s="214"/>
      <c r="D8" s="215" t="s">
        <v>234</v>
      </c>
      <c r="E8" s="215"/>
      <c r="F8" s="215"/>
      <c r="G8" s="215"/>
      <c r="H8" s="215"/>
      <c r="I8" s="215"/>
    </row>
    <row r="9" customFormat="false" ht="16.5" hidden="false" customHeight="true" outlineLevel="0" collapsed="false">
      <c r="B9" s="214" t="s">
        <v>175</v>
      </c>
      <c r="C9" s="214"/>
      <c r="D9" s="215" t="s">
        <v>235</v>
      </c>
      <c r="E9" s="215"/>
      <c r="F9" s="215"/>
      <c r="G9" s="215"/>
      <c r="H9" s="215"/>
      <c r="I9" s="215"/>
    </row>
    <row r="10" customFormat="false" ht="16.5" hidden="false" customHeight="true" outlineLevel="0" collapsed="false">
      <c r="B10" s="214" t="s">
        <v>119</v>
      </c>
      <c r="C10" s="214"/>
      <c r="D10" s="215" t="s">
        <v>123</v>
      </c>
      <c r="E10" s="215"/>
      <c r="F10" s="215"/>
      <c r="G10" s="215"/>
      <c r="H10" s="215"/>
      <c r="I10" s="215"/>
    </row>
    <row r="11" customFormat="false" ht="23.25" hidden="false" customHeight="true" outlineLevel="0" collapsed="false">
      <c r="B11" s="217" t="s">
        <v>178</v>
      </c>
      <c r="C11" s="217"/>
      <c r="D11" s="218" t="n">
        <f aca="false">SUM(I14:I18)</f>
        <v>52.49</v>
      </c>
      <c r="E11" s="218"/>
      <c r="F11" s="218"/>
      <c r="G11" s="218"/>
      <c r="H11" s="218"/>
      <c r="I11" s="218"/>
    </row>
    <row r="12" customFormat="false" ht="15.75" hidden="false" customHeight="true" outlineLevel="0" collapsed="false">
      <c r="B12" s="219"/>
      <c r="C12" s="219"/>
      <c r="D12" s="220"/>
      <c r="E12" s="220"/>
      <c r="F12" s="220"/>
      <c r="G12" s="220"/>
      <c r="H12" s="220"/>
      <c r="I12" s="220"/>
    </row>
    <row r="13" customFormat="false" ht="29.25" hidden="false" customHeight="true" outlineLevel="0" collapsed="false">
      <c r="B13" s="192"/>
      <c r="C13" s="192" t="s">
        <v>179</v>
      </c>
      <c r="D13" s="192" t="s">
        <v>118</v>
      </c>
      <c r="E13" s="192" t="s">
        <v>175</v>
      </c>
      <c r="F13" s="192" t="s">
        <v>119</v>
      </c>
      <c r="G13" s="191" t="s">
        <v>180</v>
      </c>
      <c r="H13" s="192" t="s">
        <v>181</v>
      </c>
      <c r="I13" s="192" t="s">
        <v>178</v>
      </c>
    </row>
    <row r="14" customFormat="false" ht="27.75" hidden="false" customHeight="true" outlineLevel="0" collapsed="false">
      <c r="B14" s="194" t="s">
        <v>220</v>
      </c>
      <c r="C14" s="194" t="s">
        <v>236</v>
      </c>
      <c r="D14" s="221" t="s">
        <v>237</v>
      </c>
      <c r="E14" s="221" t="s">
        <v>235</v>
      </c>
      <c r="F14" s="194" t="s">
        <v>177</v>
      </c>
      <c r="G14" s="222" t="n">
        <v>4.58</v>
      </c>
      <c r="H14" s="222" t="n">
        <v>1</v>
      </c>
      <c r="I14" s="222" t="n">
        <f aca="false">G14*H14</f>
        <v>4.58</v>
      </c>
    </row>
    <row r="15" customFormat="false" ht="27.75" hidden="false" customHeight="true" outlineLevel="0" collapsed="false">
      <c r="B15" s="194" t="s">
        <v>220</v>
      </c>
      <c r="C15" s="194" t="s">
        <v>238</v>
      </c>
      <c r="D15" s="221" t="s">
        <v>239</v>
      </c>
      <c r="E15" s="221" t="s">
        <v>235</v>
      </c>
      <c r="F15" s="194" t="s">
        <v>177</v>
      </c>
      <c r="G15" s="222" t="n">
        <v>1.41</v>
      </c>
      <c r="H15" s="222" t="n">
        <v>1</v>
      </c>
      <c r="I15" s="222" t="n">
        <f aca="false">G15*H15</f>
        <v>1.41</v>
      </c>
    </row>
    <row r="16" customFormat="false" ht="42" hidden="false" customHeight="true" outlineLevel="0" collapsed="false">
      <c r="B16" s="194" t="s">
        <v>220</v>
      </c>
      <c r="C16" s="194" t="s">
        <v>240</v>
      </c>
      <c r="D16" s="221" t="s">
        <v>241</v>
      </c>
      <c r="E16" s="221" t="s">
        <v>235</v>
      </c>
      <c r="F16" s="194" t="s">
        <v>177</v>
      </c>
      <c r="G16" s="222" t="n">
        <v>0.57</v>
      </c>
      <c r="H16" s="222" t="n">
        <v>1</v>
      </c>
      <c r="I16" s="222" t="n">
        <f aca="false">G16*H16</f>
        <v>0.57</v>
      </c>
    </row>
    <row r="17" customFormat="false" ht="27.75" hidden="false" customHeight="true" outlineLevel="0" collapsed="false">
      <c r="B17" s="194" t="s">
        <v>220</v>
      </c>
      <c r="C17" s="194" t="s">
        <v>242</v>
      </c>
      <c r="D17" s="221" t="s">
        <v>243</v>
      </c>
      <c r="E17" s="221" t="s">
        <v>235</v>
      </c>
      <c r="F17" s="194" t="s">
        <v>177</v>
      </c>
      <c r="G17" s="222" t="n">
        <v>5.73</v>
      </c>
      <c r="H17" s="222" t="n">
        <v>1</v>
      </c>
      <c r="I17" s="222" t="n">
        <f aca="false">G17*H17</f>
        <v>5.73</v>
      </c>
    </row>
    <row r="18" customFormat="false" ht="42" hidden="false" customHeight="true" outlineLevel="0" collapsed="false">
      <c r="B18" s="194" t="s">
        <v>220</v>
      </c>
      <c r="C18" s="194" t="s">
        <v>244</v>
      </c>
      <c r="D18" s="221" t="s">
        <v>245</v>
      </c>
      <c r="E18" s="221" t="s">
        <v>235</v>
      </c>
      <c r="F18" s="194" t="s">
        <v>177</v>
      </c>
      <c r="G18" s="222" t="n">
        <v>40.2</v>
      </c>
      <c r="H18" s="222" t="n">
        <v>1</v>
      </c>
      <c r="I18" s="222" t="n">
        <f aca="false">G18*H18</f>
        <v>40.2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212" t="s">
        <v>246</v>
      </c>
      <c r="C20" s="212"/>
      <c r="D20" s="212"/>
      <c r="E20" s="212"/>
      <c r="F20" s="212"/>
      <c r="G20" s="212"/>
      <c r="H20" s="212"/>
      <c r="I20" s="212"/>
    </row>
    <row r="21" customFormat="false" ht="16.5" hidden="false" customHeight="true" outlineLevel="0" collapsed="false">
      <c r="B21" s="217" t="s">
        <v>171</v>
      </c>
      <c r="C21" s="217"/>
      <c r="D21" s="223" t="s">
        <v>247</v>
      </c>
      <c r="E21" s="223"/>
      <c r="F21" s="223"/>
      <c r="G21" s="223"/>
      <c r="H21" s="223"/>
      <c r="I21" s="223"/>
    </row>
    <row r="22" customFormat="false" ht="16.5" hidden="false" customHeight="true" outlineLevel="0" collapsed="false">
      <c r="B22" s="217" t="s">
        <v>118</v>
      </c>
      <c r="C22" s="217"/>
      <c r="D22" s="223" t="s">
        <v>248</v>
      </c>
      <c r="E22" s="223"/>
      <c r="F22" s="223"/>
      <c r="G22" s="223"/>
      <c r="H22" s="223"/>
      <c r="I22" s="223"/>
    </row>
    <row r="23" customFormat="false" ht="16.5" hidden="false" customHeight="true" outlineLevel="0" collapsed="false">
      <c r="B23" s="217" t="s">
        <v>173</v>
      </c>
      <c r="C23" s="217"/>
      <c r="D23" s="224" t="str">
        <f aca="false">D7</f>
        <v>01/2025</v>
      </c>
      <c r="E23" s="224"/>
      <c r="F23" s="224"/>
      <c r="G23" s="224"/>
      <c r="H23" s="224"/>
      <c r="I23" s="224"/>
    </row>
    <row r="24" customFormat="false" ht="16.5" hidden="false" customHeight="true" outlineLevel="0" collapsed="false">
      <c r="B24" s="217" t="s">
        <v>174</v>
      </c>
      <c r="C24" s="217"/>
      <c r="D24" s="223" t="str">
        <f aca="false">D8</f>
        <v>Rio Grande do Sul</v>
      </c>
      <c r="E24" s="223"/>
      <c r="F24" s="223"/>
      <c r="G24" s="223"/>
      <c r="H24" s="223"/>
      <c r="I24" s="223"/>
    </row>
    <row r="25" customFormat="false" ht="16.5" hidden="false" customHeight="true" outlineLevel="0" collapsed="false">
      <c r="B25" s="217" t="s">
        <v>175</v>
      </c>
      <c r="C25" s="217"/>
      <c r="D25" s="223" t="s">
        <v>235</v>
      </c>
      <c r="E25" s="223"/>
      <c r="F25" s="223"/>
      <c r="G25" s="223"/>
      <c r="H25" s="223"/>
      <c r="I25" s="223"/>
    </row>
    <row r="26" customFormat="false" ht="16.5" hidden="false" customHeight="true" outlineLevel="0" collapsed="false">
      <c r="B26" s="217" t="s">
        <v>119</v>
      </c>
      <c r="C26" s="217"/>
      <c r="D26" s="223" t="s">
        <v>125</v>
      </c>
      <c r="E26" s="223"/>
      <c r="F26" s="223"/>
      <c r="G26" s="223"/>
      <c r="H26" s="223"/>
      <c r="I26" s="223"/>
    </row>
    <row r="27" customFormat="false" ht="23.25" hidden="false" customHeight="true" outlineLevel="0" collapsed="false">
      <c r="B27" s="217" t="s">
        <v>178</v>
      </c>
      <c r="C27" s="217"/>
      <c r="D27" s="225" t="n">
        <f aca="false">SUM(I30:I32)</f>
        <v>6.56</v>
      </c>
      <c r="E27" s="225"/>
      <c r="F27" s="225"/>
      <c r="G27" s="225"/>
      <c r="H27" s="225"/>
      <c r="I27" s="225"/>
    </row>
    <row r="28" customFormat="false" ht="15.75" hidden="false" customHeight="true" outlineLevel="0" collapsed="false">
      <c r="B28" s="219"/>
      <c r="C28" s="219"/>
      <c r="D28" s="220"/>
      <c r="E28" s="220"/>
      <c r="F28" s="220"/>
      <c r="G28" s="220"/>
      <c r="H28" s="220"/>
      <c r="I28" s="220"/>
    </row>
    <row r="29" customFormat="false" ht="29.25" hidden="false" customHeight="true" outlineLevel="0" collapsed="false">
      <c r="B29" s="192"/>
      <c r="C29" s="192" t="s">
        <v>179</v>
      </c>
      <c r="D29" s="192" t="s">
        <v>118</v>
      </c>
      <c r="E29" s="192" t="s">
        <v>175</v>
      </c>
      <c r="F29" s="192" t="s">
        <v>119</v>
      </c>
      <c r="G29" s="191" t="s">
        <v>180</v>
      </c>
      <c r="H29" s="192" t="s">
        <v>181</v>
      </c>
      <c r="I29" s="192" t="s">
        <v>178</v>
      </c>
    </row>
    <row r="30" customFormat="false" ht="27.75" hidden="false" customHeight="true" outlineLevel="0" collapsed="false">
      <c r="B30" s="194" t="s">
        <v>220</v>
      </c>
      <c r="C30" s="194" t="s">
        <v>236</v>
      </c>
      <c r="D30" s="221" t="s">
        <v>237</v>
      </c>
      <c r="E30" s="221" t="s">
        <v>235</v>
      </c>
      <c r="F30" s="194" t="s">
        <v>177</v>
      </c>
      <c r="G30" s="222" t="n">
        <f aca="false">G14</f>
        <v>4.58</v>
      </c>
      <c r="H30" s="222" t="n">
        <v>1</v>
      </c>
      <c r="I30" s="222" t="n">
        <f aca="false">G30*H30</f>
        <v>4.58</v>
      </c>
    </row>
    <row r="31" customFormat="false" ht="27.75" hidden="false" customHeight="true" outlineLevel="0" collapsed="false">
      <c r="B31" s="194" t="s">
        <v>220</v>
      </c>
      <c r="C31" s="194" t="s">
        <v>238</v>
      </c>
      <c r="D31" s="221" t="s">
        <v>239</v>
      </c>
      <c r="E31" s="221" t="s">
        <v>235</v>
      </c>
      <c r="F31" s="194" t="s">
        <v>177</v>
      </c>
      <c r="G31" s="222" t="n">
        <f aca="false">G15</f>
        <v>1.41</v>
      </c>
      <c r="H31" s="222" t="n">
        <v>1</v>
      </c>
      <c r="I31" s="222" t="n">
        <f aca="false">G31*H31</f>
        <v>1.41</v>
      </c>
    </row>
    <row r="32" customFormat="false" ht="42" hidden="false" customHeight="true" outlineLevel="0" collapsed="false">
      <c r="B32" s="194" t="s">
        <v>220</v>
      </c>
      <c r="C32" s="194" t="s">
        <v>240</v>
      </c>
      <c r="D32" s="221" t="s">
        <v>241</v>
      </c>
      <c r="E32" s="221" t="s">
        <v>235</v>
      </c>
      <c r="F32" s="194" t="s">
        <v>177</v>
      </c>
      <c r="G32" s="222" t="n">
        <f aca="false">G16</f>
        <v>0.57</v>
      </c>
      <c r="H32" s="222" t="n">
        <v>1</v>
      </c>
      <c r="I32" s="222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D25" colorId="64" zoomScale="100" zoomScaleNormal="100" zoomScalePageLayoutView="100" workbookViewId="0">
      <selection pane="topLeft" activeCell="I25" activeCellId="0" sqref="I25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15.5"/>
    <col collapsed="false" customWidth="true" hidden="false" outlineLevel="0" max="3" min="3" style="18" width="16.26"/>
    <col collapsed="false" customWidth="true" hidden="false" outlineLevel="0" max="4" min="4" style="17" width="31.88"/>
    <col collapsed="false" customWidth="true" hidden="false" outlineLevel="0" max="5" min="5" style="17" width="36.88"/>
    <col collapsed="false" customWidth="true" hidden="false" outlineLevel="0" max="6" min="6" style="18" width="15.26"/>
    <col collapsed="false" customWidth="true" hidden="false" outlineLevel="0" max="7" min="7" style="17" width="9"/>
    <col collapsed="false" customWidth="true" hidden="false" outlineLevel="0" max="8" min="8" style="17" width="9.12"/>
    <col collapsed="false" customWidth="true" hidden="false" outlineLevel="0" max="9" min="9" style="17" width="12"/>
    <col collapsed="false" customWidth="true" hidden="false" outlineLevel="0" max="11" min="10" style="17" width="11.25"/>
    <col collapsed="false" customWidth="true" hidden="false" outlineLevel="0" max="12" min="12" style="17" width="10.38"/>
    <col collapsed="false" customWidth="true" hidden="false" outlineLevel="0" max="13" min="13" style="17" width="10.5"/>
    <col collapsed="false" customWidth="true" hidden="false" outlineLevel="0" max="14" min="14" style="17" width="12.5"/>
    <col collapsed="false" customWidth="true" hidden="false" outlineLevel="0" max="259" min="15" style="17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26" customFormat="true" ht="29.25" hidden="false" customHeight="true" outlineLevel="0" collapsed="false">
      <c r="B2" s="227" t="str">
        <f aca="false">"RELAÇÃO DE UNIDADES DO "&amp;'Valor da Contratação'!B7&amp;""</f>
        <v>RELAÇÃO DE UNIDADES DO POLO VIII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="17" customFormat="true" ht="15" hidden="false" customHeight="true" outlineLevel="0" collapsed="false"/>
    <row r="4" customFormat="false" ht="66.75" hidden="false" customHeight="true" outlineLevel="0" collapsed="false">
      <c r="B4" s="33" t="s">
        <v>249</v>
      </c>
      <c r="C4" s="33" t="s">
        <v>13</v>
      </c>
      <c r="D4" s="33" t="s">
        <v>41</v>
      </c>
      <c r="E4" s="33" t="s">
        <v>250</v>
      </c>
      <c r="F4" s="33" t="s">
        <v>251</v>
      </c>
      <c r="G4" s="33" t="s">
        <v>252</v>
      </c>
      <c r="H4" s="33" t="s">
        <v>71</v>
      </c>
      <c r="I4" s="33" t="s">
        <v>253</v>
      </c>
      <c r="J4" s="33" t="s">
        <v>254</v>
      </c>
      <c r="K4" s="33" t="s">
        <v>255</v>
      </c>
      <c r="L4" s="33" t="s">
        <v>256</v>
      </c>
      <c r="M4" s="33" t="s">
        <v>257</v>
      </c>
      <c r="N4" s="33" t="s">
        <v>258</v>
      </c>
    </row>
    <row r="5" customFormat="false" ht="18" hidden="false" customHeight="true" outlineLevel="0" collapsed="false">
      <c r="B5" s="228" t="s">
        <v>21</v>
      </c>
      <c r="C5" s="228" t="s">
        <v>21</v>
      </c>
      <c r="D5" s="229" t="s">
        <v>90</v>
      </c>
      <c r="E5" s="230" t="s">
        <v>259</v>
      </c>
      <c r="F5" s="66" t="n">
        <f aca="false">(46*2)/60</f>
        <v>1.53333333333333</v>
      </c>
      <c r="G5" s="231" t="n">
        <v>0.03</v>
      </c>
      <c r="H5" s="231" t="n">
        <f aca="false">HLOOKUP(G5,BDI!$D$19:$J$30,12,)</f>
        <v>0.2354</v>
      </c>
      <c r="I5" s="232" t="n">
        <v>1960.04</v>
      </c>
      <c r="J5" s="232" t="n">
        <v>980.02</v>
      </c>
      <c r="K5" s="232" t="n">
        <v>980.02</v>
      </c>
      <c r="L5" s="232" t="n">
        <v>0</v>
      </c>
      <c r="M5" s="232" t="s">
        <v>260</v>
      </c>
      <c r="N5" s="232" t="s">
        <v>260</v>
      </c>
    </row>
    <row r="6" customFormat="false" ht="18" hidden="false" customHeight="true" outlineLevel="0" collapsed="false">
      <c r="B6" s="228" t="s">
        <v>21</v>
      </c>
      <c r="C6" s="228" t="s">
        <v>21</v>
      </c>
      <c r="D6" s="229" t="s">
        <v>93</v>
      </c>
      <c r="E6" s="230" t="s">
        <v>261</v>
      </c>
      <c r="F6" s="66" t="n">
        <f aca="false">(90*2)/60</f>
        <v>3</v>
      </c>
      <c r="G6" s="231" t="n">
        <v>0.03</v>
      </c>
      <c r="H6" s="231" t="n">
        <f aca="false">HLOOKUP(G6,BDI!$D$19:$J$30,12,)</f>
        <v>0.2354</v>
      </c>
      <c r="I6" s="232" t="n">
        <v>1354.16</v>
      </c>
      <c r="J6" s="232" t="n">
        <v>771.34</v>
      </c>
      <c r="K6" s="232" t="n">
        <v>241.24</v>
      </c>
      <c r="L6" s="232" t="n">
        <v>341.58</v>
      </c>
      <c r="M6" s="232" t="s">
        <v>260</v>
      </c>
      <c r="N6" s="232" t="s">
        <v>262</v>
      </c>
    </row>
    <row r="7" customFormat="false" ht="18" hidden="false" customHeight="true" outlineLevel="0" collapsed="false">
      <c r="B7" s="228" t="s">
        <v>21</v>
      </c>
      <c r="C7" s="228" t="s">
        <v>21</v>
      </c>
      <c r="D7" s="229" t="s">
        <v>87</v>
      </c>
      <c r="E7" s="233" t="s">
        <v>263</v>
      </c>
      <c r="F7" s="66" t="n">
        <f aca="false">(54*2)/60</f>
        <v>1.8</v>
      </c>
      <c r="G7" s="231" t="n">
        <v>0.05</v>
      </c>
      <c r="H7" s="231" t="n">
        <f aca="false">HLOOKUP(G7,BDI!$D$19:$J$30,12,)</f>
        <v>0.2624</v>
      </c>
      <c r="I7" s="232" t="n">
        <v>334.4</v>
      </c>
      <c r="J7" s="232" t="n">
        <v>296</v>
      </c>
      <c r="K7" s="232" t="n">
        <v>38.4</v>
      </c>
      <c r="L7" s="232" t="n">
        <v>0</v>
      </c>
      <c r="M7" s="232" t="s">
        <v>260</v>
      </c>
      <c r="N7" s="232" t="s">
        <v>260</v>
      </c>
    </row>
    <row r="8" customFormat="false" ht="18" hidden="false" customHeight="true" outlineLevel="0" collapsed="false">
      <c r="B8" s="228" t="s">
        <v>21</v>
      </c>
      <c r="C8" s="228" t="s">
        <v>21</v>
      </c>
      <c r="D8" s="229" t="s">
        <v>92</v>
      </c>
      <c r="E8" s="233" t="s">
        <v>264</v>
      </c>
      <c r="F8" s="66" t="n">
        <f aca="false">(26*2)/60</f>
        <v>0.866666666666667</v>
      </c>
      <c r="G8" s="231" t="n">
        <v>0.02</v>
      </c>
      <c r="H8" s="231" t="n">
        <f aca="false">HLOOKUP(G8,BDI!$D$19:$J$30,12,)</f>
        <v>0.2223</v>
      </c>
      <c r="I8" s="232" t="n">
        <v>617.87</v>
      </c>
      <c r="J8" s="232" t="n">
        <v>420.59</v>
      </c>
      <c r="K8" s="232" t="n">
        <v>197.28</v>
      </c>
      <c r="L8" s="232" t="n">
        <v>0</v>
      </c>
      <c r="M8" s="232" t="s">
        <v>260</v>
      </c>
      <c r="N8" s="232" t="s">
        <v>260</v>
      </c>
    </row>
    <row r="9" customFormat="false" ht="18" hidden="false" customHeight="true" outlineLevel="0" collapsed="false">
      <c r="B9" s="228" t="s">
        <v>21</v>
      </c>
      <c r="C9" s="228" t="s">
        <v>21</v>
      </c>
      <c r="D9" s="229" t="s">
        <v>86</v>
      </c>
      <c r="E9" s="230" t="s">
        <v>265</v>
      </c>
      <c r="F9" s="66" t="n">
        <f aca="false">(22*2)/60</f>
        <v>0.733333333333333</v>
      </c>
      <c r="G9" s="231" t="n">
        <v>0.02</v>
      </c>
      <c r="H9" s="231" t="n">
        <f aca="false">HLOOKUP(G9,BDI!$D$19:$J$30,12,)</f>
        <v>0.2223</v>
      </c>
      <c r="I9" s="232" t="n">
        <v>334.4</v>
      </c>
      <c r="J9" s="232" t="n">
        <v>296</v>
      </c>
      <c r="K9" s="232" t="n">
        <v>38.4</v>
      </c>
      <c r="L9" s="232" t="n">
        <v>0</v>
      </c>
      <c r="M9" s="232" t="s">
        <v>260</v>
      </c>
      <c r="N9" s="232" t="s">
        <v>260</v>
      </c>
    </row>
    <row r="10" customFormat="false" ht="18" hidden="false" customHeight="true" outlineLevel="0" collapsed="false">
      <c r="B10" s="228" t="s">
        <v>21</v>
      </c>
      <c r="C10" s="228" t="s">
        <v>21</v>
      </c>
      <c r="D10" s="229" t="s">
        <v>89</v>
      </c>
      <c r="E10" s="230" t="s">
        <v>266</v>
      </c>
      <c r="F10" s="66" t="n">
        <f aca="false">(45*2)/60</f>
        <v>1.5</v>
      </c>
      <c r="G10" s="231" t="n">
        <v>0.03</v>
      </c>
      <c r="H10" s="231" t="n">
        <f aca="false">HLOOKUP(G10,BDI!$D$19:$J$30,12,)</f>
        <v>0.2354</v>
      </c>
      <c r="I10" s="232" t="n">
        <v>840.61</v>
      </c>
      <c r="J10" s="232" t="n">
        <v>399.63</v>
      </c>
      <c r="K10" s="232" t="n">
        <v>166.29</v>
      </c>
      <c r="L10" s="232" t="n">
        <v>274.69</v>
      </c>
      <c r="M10" s="232" t="s">
        <v>260</v>
      </c>
      <c r="N10" s="232" t="s">
        <v>260</v>
      </c>
    </row>
    <row r="11" customFormat="false" ht="18" hidden="false" customHeight="true" outlineLevel="0" collapsed="false">
      <c r="B11" s="228" t="s">
        <v>21</v>
      </c>
      <c r="C11" s="228" t="s">
        <v>21</v>
      </c>
      <c r="D11" s="229" t="s">
        <v>85</v>
      </c>
      <c r="E11" s="230" t="s">
        <v>267</v>
      </c>
      <c r="F11" s="66" t="n">
        <f aca="false">(2*2)/60</f>
        <v>0.0666666666666667</v>
      </c>
      <c r="G11" s="231" t="n">
        <v>0.04</v>
      </c>
      <c r="H11" s="231" t="n">
        <f aca="false">HLOOKUP(G11,BDI!$D$19:$J$30,12,)</f>
        <v>0.2487</v>
      </c>
      <c r="I11" s="232" t="n">
        <v>226.81</v>
      </c>
      <c r="J11" s="232" t="n">
        <v>0</v>
      </c>
      <c r="K11" s="232" t="n">
        <v>0</v>
      </c>
      <c r="L11" s="232" t="n">
        <v>226.81</v>
      </c>
      <c r="M11" s="232" t="s">
        <v>260</v>
      </c>
      <c r="N11" s="232" t="s">
        <v>260</v>
      </c>
    </row>
    <row r="12" customFormat="false" ht="18" hidden="false" customHeight="true" outlineLevel="0" collapsed="false">
      <c r="B12" s="228" t="s">
        <v>21</v>
      </c>
      <c r="C12" s="228" t="s">
        <v>21</v>
      </c>
      <c r="D12" s="229" t="s">
        <v>83</v>
      </c>
      <c r="E12" s="230" t="s">
        <v>268</v>
      </c>
      <c r="F12" s="66" t="n">
        <f aca="false">(6*2)/60</f>
        <v>0.2</v>
      </c>
      <c r="G12" s="231" t="n">
        <v>0.04</v>
      </c>
      <c r="H12" s="231" t="n">
        <f aca="false">HLOOKUP(G12,BDI!$D$19:$J$30,12,)</f>
        <v>0.2487</v>
      </c>
      <c r="I12" s="232" t="n">
        <v>792.76</v>
      </c>
      <c r="J12" s="232" t="n">
        <v>20.46</v>
      </c>
      <c r="K12" s="232" t="n">
        <v>772.3</v>
      </c>
      <c r="L12" s="232" t="n">
        <v>0</v>
      </c>
      <c r="M12" s="232" t="s">
        <v>260</v>
      </c>
      <c r="N12" s="232" t="s">
        <v>260</v>
      </c>
    </row>
    <row r="13" customFormat="false" ht="18" hidden="false" customHeight="true" outlineLevel="0" collapsed="false">
      <c r="B13" s="228" t="s">
        <v>21</v>
      </c>
      <c r="C13" s="228" t="s">
        <v>21</v>
      </c>
      <c r="D13" s="229" t="s">
        <v>81</v>
      </c>
      <c r="E13" s="230" t="s">
        <v>269</v>
      </c>
      <c r="F13" s="66" t="n">
        <v>0</v>
      </c>
      <c r="G13" s="231" t="n">
        <v>0.04</v>
      </c>
      <c r="H13" s="231" t="n">
        <f aca="false">HLOOKUP(G13,BDI!$D$19:$J$30,12,)</f>
        <v>0.2487</v>
      </c>
      <c r="I13" s="232" t="n">
        <v>2811.03</v>
      </c>
      <c r="J13" s="232" t="n">
        <v>2471.36</v>
      </c>
      <c r="K13" s="232" t="n">
        <v>339.67</v>
      </c>
      <c r="L13" s="232" t="n">
        <v>0</v>
      </c>
      <c r="M13" s="232" t="s">
        <v>262</v>
      </c>
      <c r="N13" s="232" t="s">
        <v>262</v>
      </c>
    </row>
    <row r="14" customFormat="false" ht="18" hidden="false" customHeight="true" outlineLevel="0" collapsed="false">
      <c r="B14" s="228" t="s">
        <v>270</v>
      </c>
      <c r="C14" s="228" t="s">
        <v>21</v>
      </c>
      <c r="D14" s="229" t="s">
        <v>95</v>
      </c>
      <c r="E14" s="230" t="s">
        <v>271</v>
      </c>
      <c r="F14" s="234" t="n">
        <f aca="false">(145*2)/60</f>
        <v>4.83333333333333</v>
      </c>
      <c r="G14" s="231" t="n">
        <v>0.02</v>
      </c>
      <c r="H14" s="231" t="n">
        <f aca="false">HLOOKUP(G14,BDI!$D$19:$J$30,12,)</f>
        <v>0.2223</v>
      </c>
      <c r="I14" s="232" t="n">
        <v>436.8</v>
      </c>
      <c r="J14" s="232" t="n">
        <v>342.01</v>
      </c>
      <c r="K14" s="232" t="n">
        <v>94.79</v>
      </c>
      <c r="L14" s="232" t="n">
        <v>0</v>
      </c>
      <c r="M14" s="232" t="s">
        <v>260</v>
      </c>
      <c r="N14" s="232" t="s">
        <v>260</v>
      </c>
    </row>
    <row r="15" s="235" customFormat="true" ht="18" hidden="false" customHeight="true" outlineLevel="0" collapsed="false">
      <c r="B15" s="228" t="s">
        <v>22</v>
      </c>
      <c r="C15" s="228" t="s">
        <v>22</v>
      </c>
      <c r="D15" s="229" t="s">
        <v>134</v>
      </c>
      <c r="E15" s="230" t="s">
        <v>272</v>
      </c>
      <c r="F15" s="66" t="n">
        <f aca="false">(3*2)/60</f>
        <v>0.1</v>
      </c>
      <c r="G15" s="231" t="n">
        <v>0.02</v>
      </c>
      <c r="H15" s="231" t="n">
        <f aca="false">HLOOKUP(G15,BDI!$D$19:$J$30,12,)</f>
        <v>0.2223</v>
      </c>
      <c r="I15" s="232" t="n">
        <v>3420.53</v>
      </c>
      <c r="J15" s="232" t="n">
        <v>0</v>
      </c>
      <c r="K15" s="232" t="n">
        <v>1660.46</v>
      </c>
      <c r="L15" s="232" t="n">
        <v>1760.07</v>
      </c>
      <c r="M15" s="232" t="s">
        <v>260</v>
      </c>
      <c r="N15" s="232" t="s">
        <v>262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</row>
    <row r="16" customFormat="false" ht="18" hidden="false" customHeight="true" outlineLevel="0" collapsed="false">
      <c r="B16" s="228" t="s">
        <v>22</v>
      </c>
      <c r="C16" s="228" t="s">
        <v>22</v>
      </c>
      <c r="D16" s="229" t="s">
        <v>133</v>
      </c>
      <c r="E16" s="230" t="s">
        <v>273</v>
      </c>
      <c r="F16" s="66" t="n">
        <f aca="false">(14*2)/60</f>
        <v>0.466666666666667</v>
      </c>
      <c r="G16" s="231" t="n">
        <v>0.02</v>
      </c>
      <c r="H16" s="231" t="n">
        <f aca="false">HLOOKUP(G16,BDI!$D$19:$J$30,12,)</f>
        <v>0.2223</v>
      </c>
      <c r="I16" s="232" t="n">
        <v>827.93</v>
      </c>
      <c r="J16" s="232" t="n">
        <v>237.41</v>
      </c>
      <c r="K16" s="232" t="n">
        <v>561.57</v>
      </c>
      <c r="L16" s="232" t="n">
        <v>28.95</v>
      </c>
      <c r="M16" s="232" t="s">
        <v>260</v>
      </c>
      <c r="N16" s="232" t="s">
        <v>262</v>
      </c>
    </row>
    <row r="17" s="235" customFormat="true" ht="18" hidden="false" customHeight="true" outlineLevel="0" collapsed="false">
      <c r="B17" s="228" t="s">
        <v>22</v>
      </c>
      <c r="C17" s="228" t="s">
        <v>22</v>
      </c>
      <c r="D17" s="229" t="s">
        <v>136</v>
      </c>
      <c r="E17" s="230" t="s">
        <v>274</v>
      </c>
      <c r="F17" s="66" t="n">
        <f aca="false">(21*2)/60</f>
        <v>0.7</v>
      </c>
      <c r="G17" s="231" t="n">
        <v>0.02</v>
      </c>
      <c r="H17" s="231" t="n">
        <f aca="false">HLOOKUP(G17,BDI!$D$19:$J$30,12,)</f>
        <v>0.2223</v>
      </c>
      <c r="I17" s="232" t="n">
        <v>914.18</v>
      </c>
      <c r="J17" s="232" t="n">
        <v>371.04</v>
      </c>
      <c r="K17" s="232" t="n">
        <v>112.85</v>
      </c>
      <c r="L17" s="232" t="n">
        <v>430.29</v>
      </c>
      <c r="M17" s="232" t="s">
        <v>260</v>
      </c>
      <c r="N17" s="232" t="s">
        <v>262</v>
      </c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</row>
    <row r="18" customFormat="false" ht="18" hidden="false" customHeight="true" outlineLevel="0" collapsed="false">
      <c r="B18" s="228" t="s">
        <v>22</v>
      </c>
      <c r="C18" s="228" t="s">
        <v>22</v>
      </c>
      <c r="D18" s="229" t="s">
        <v>275</v>
      </c>
      <c r="E18" s="230" t="s">
        <v>276</v>
      </c>
      <c r="F18" s="66" t="n">
        <f aca="false">(119*2)/60</f>
        <v>3.96666666666667</v>
      </c>
      <c r="G18" s="231" t="n">
        <v>0.025</v>
      </c>
      <c r="H18" s="231" t="n">
        <f aca="false">HLOOKUP(G18,BDI!$D$19:$J$30,12,)</f>
        <v>0.2288</v>
      </c>
      <c r="I18" s="232" t="n">
        <v>1832.48</v>
      </c>
      <c r="J18" s="232" t="n">
        <v>657.24</v>
      </c>
      <c r="K18" s="232" t="n">
        <v>198.31</v>
      </c>
      <c r="L18" s="232" t="n">
        <v>976.93</v>
      </c>
      <c r="M18" s="232" t="s">
        <v>262</v>
      </c>
      <c r="N18" s="232" t="s">
        <v>262</v>
      </c>
    </row>
    <row r="19" customFormat="false" ht="18" hidden="false" customHeight="true" outlineLevel="0" collapsed="false">
      <c r="A19" s="235"/>
      <c r="B19" s="236" t="s">
        <v>22</v>
      </c>
      <c r="C19" s="236" t="s">
        <v>22</v>
      </c>
      <c r="D19" s="237" t="s">
        <v>142</v>
      </c>
      <c r="E19" s="230" t="s">
        <v>277</v>
      </c>
      <c r="F19" s="238" t="n">
        <f aca="false">(90*2)/60</f>
        <v>3</v>
      </c>
      <c r="G19" s="231" t="n">
        <v>0.025</v>
      </c>
      <c r="H19" s="231" t="n">
        <f aca="false">HLOOKUP(G19,BDI!$D$19:$J$30,12,)</f>
        <v>0.2288</v>
      </c>
      <c r="I19" s="239" t="n">
        <v>1719.85</v>
      </c>
      <c r="J19" s="239" t="n">
        <v>0</v>
      </c>
      <c r="K19" s="239" t="n">
        <v>0</v>
      </c>
      <c r="L19" s="239" t="n">
        <v>1719.85</v>
      </c>
      <c r="M19" s="239" t="s">
        <v>260</v>
      </c>
      <c r="N19" s="239" t="s">
        <v>262</v>
      </c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24"/>
      <c r="DG19" s="124"/>
      <c r="DH19" s="124"/>
      <c r="DI19" s="124"/>
      <c r="DJ19" s="124"/>
      <c r="DK19" s="124"/>
      <c r="DL19" s="124"/>
      <c r="DM19" s="124"/>
      <c r="DN19" s="124"/>
      <c r="DO19" s="124"/>
      <c r="DP19" s="124"/>
      <c r="DQ19" s="124"/>
      <c r="DR19" s="124"/>
      <c r="DS19" s="124"/>
      <c r="DT19" s="124"/>
      <c r="DU19" s="124"/>
      <c r="DV19" s="124"/>
      <c r="DW19" s="124"/>
      <c r="DX19" s="124"/>
      <c r="DY19" s="124"/>
      <c r="DZ19" s="124"/>
      <c r="EA19" s="124"/>
      <c r="EB19" s="124"/>
      <c r="EC19" s="124"/>
      <c r="ED19" s="124"/>
      <c r="EE19" s="124"/>
      <c r="EF19" s="124"/>
      <c r="EG19" s="124"/>
      <c r="EH19" s="124"/>
      <c r="EI19" s="124"/>
      <c r="EJ19" s="124"/>
      <c r="EK19" s="124"/>
      <c r="EL19" s="124"/>
      <c r="EM19" s="124"/>
      <c r="EN19" s="124"/>
      <c r="EO19" s="124"/>
      <c r="EP19" s="124"/>
      <c r="EQ19" s="124"/>
      <c r="ER19" s="124"/>
      <c r="ES19" s="124"/>
      <c r="ET19" s="124"/>
      <c r="EU19" s="124"/>
      <c r="EV19" s="124"/>
      <c r="EW19" s="124"/>
      <c r="EX19" s="124"/>
      <c r="EY19" s="124"/>
      <c r="EZ19" s="124"/>
      <c r="FA19" s="124"/>
      <c r="FB19" s="124"/>
      <c r="FC19" s="124"/>
      <c r="FD19" s="124"/>
      <c r="FE19" s="124"/>
      <c r="FF19" s="124"/>
      <c r="FG19" s="124"/>
      <c r="FH19" s="124"/>
      <c r="FI19" s="124"/>
      <c r="FJ19" s="124"/>
      <c r="FK19" s="124"/>
      <c r="FL19" s="124"/>
      <c r="FM19" s="124"/>
      <c r="FN19" s="124"/>
      <c r="FO19" s="124"/>
      <c r="FP19" s="124"/>
      <c r="FQ19" s="124"/>
      <c r="FR19" s="124"/>
      <c r="FS19" s="124"/>
      <c r="FT19" s="124"/>
      <c r="FU19" s="124"/>
      <c r="FV19" s="124"/>
      <c r="FW19" s="124"/>
      <c r="FX19" s="124"/>
      <c r="FY19" s="124"/>
      <c r="FZ19" s="124"/>
      <c r="GA19" s="124"/>
      <c r="GB19" s="124"/>
      <c r="GC19" s="124"/>
      <c r="GD19" s="124"/>
      <c r="GE19" s="124"/>
      <c r="GF19" s="124"/>
      <c r="GG19" s="124"/>
      <c r="GH19" s="124"/>
      <c r="GI19" s="124"/>
      <c r="GJ19" s="124"/>
      <c r="GK19" s="124"/>
      <c r="GL19" s="124"/>
      <c r="GM19" s="124"/>
      <c r="GN19" s="124"/>
      <c r="GO19" s="124"/>
      <c r="GP19" s="124"/>
      <c r="GQ19" s="124"/>
      <c r="GR19" s="124"/>
      <c r="GS19" s="124"/>
      <c r="GT19" s="124"/>
      <c r="GU19" s="124"/>
      <c r="GV19" s="124"/>
      <c r="GW19" s="124"/>
      <c r="GX19" s="124"/>
      <c r="GY19" s="124"/>
      <c r="GZ19" s="124"/>
      <c r="HA19" s="124"/>
      <c r="HB19" s="124"/>
      <c r="HC19" s="124"/>
      <c r="HD19" s="124"/>
      <c r="HE19" s="124"/>
      <c r="HF19" s="124"/>
      <c r="HG19" s="124"/>
      <c r="HH19" s="124"/>
      <c r="HI19" s="124"/>
      <c r="HJ19" s="124"/>
      <c r="HK19" s="124"/>
      <c r="HL19" s="124"/>
      <c r="HM19" s="124"/>
      <c r="HN19" s="124"/>
      <c r="HO19" s="124"/>
      <c r="HP19" s="124"/>
      <c r="HQ19" s="124"/>
      <c r="HR19" s="124"/>
      <c r="HS19" s="124"/>
      <c r="HT19" s="124"/>
      <c r="HU19" s="124"/>
      <c r="HV19" s="124"/>
      <c r="HW19" s="124"/>
      <c r="HX19" s="124"/>
      <c r="HY19" s="124"/>
      <c r="HZ19" s="124"/>
      <c r="IA19" s="124"/>
      <c r="IB19" s="124"/>
      <c r="IC19" s="124"/>
      <c r="ID19" s="124"/>
      <c r="IE19" s="124"/>
      <c r="IF19" s="124"/>
      <c r="IG19" s="124"/>
      <c r="IH19" s="124"/>
      <c r="II19" s="124"/>
      <c r="IJ19" s="124"/>
      <c r="IK19" s="124"/>
      <c r="IL19" s="124"/>
      <c r="IM19" s="124"/>
      <c r="IN19" s="124"/>
      <c r="IO19" s="124"/>
      <c r="IP19" s="124"/>
      <c r="IQ19" s="124"/>
      <c r="IR19" s="124"/>
      <c r="IS19" s="124"/>
      <c r="IT19" s="124"/>
      <c r="IU19" s="124"/>
      <c r="IV19" s="124"/>
      <c r="IW19" s="124"/>
      <c r="IX19" s="124"/>
      <c r="IY19" s="124"/>
      <c r="IZ19" s="235"/>
      <c r="JA19" s="235"/>
      <c r="JB19" s="235"/>
      <c r="JC19" s="235"/>
      <c r="JD19" s="235"/>
      <c r="JE19" s="235"/>
      <c r="JF19" s="235"/>
      <c r="JG19" s="235"/>
      <c r="JH19" s="235"/>
      <c r="JI19" s="235"/>
      <c r="JJ19" s="235"/>
      <c r="JK19" s="235"/>
      <c r="JL19" s="235"/>
      <c r="JM19" s="235"/>
      <c r="JN19" s="235"/>
      <c r="JO19" s="235"/>
      <c r="JP19" s="235"/>
      <c r="JQ19" s="235"/>
      <c r="JR19" s="235"/>
      <c r="JS19" s="235"/>
      <c r="JT19" s="235"/>
      <c r="JU19" s="235"/>
      <c r="JV19" s="235"/>
      <c r="JW19" s="235"/>
      <c r="JX19" s="235"/>
      <c r="JY19" s="235"/>
      <c r="JZ19" s="235"/>
      <c r="KA19" s="235"/>
      <c r="KB19" s="235"/>
      <c r="KC19" s="235"/>
      <c r="KD19" s="235"/>
      <c r="KE19" s="235"/>
      <c r="KF19" s="235"/>
      <c r="KG19" s="235"/>
      <c r="KH19" s="235"/>
      <c r="KI19" s="235"/>
      <c r="KJ19" s="235"/>
      <c r="KK19" s="235"/>
      <c r="KL19" s="235"/>
      <c r="KM19" s="235"/>
      <c r="KN19" s="235"/>
      <c r="KO19" s="235"/>
      <c r="KP19" s="235"/>
      <c r="KQ19" s="235"/>
      <c r="KR19" s="235"/>
      <c r="KS19" s="235"/>
      <c r="KT19" s="235"/>
      <c r="KU19" s="235"/>
      <c r="KV19" s="235"/>
      <c r="KW19" s="235"/>
      <c r="KX19" s="235"/>
      <c r="KY19" s="235"/>
      <c r="KZ19" s="235"/>
      <c r="LA19" s="235"/>
      <c r="LB19" s="235"/>
      <c r="LC19" s="235"/>
      <c r="LD19" s="235"/>
      <c r="LE19" s="235"/>
      <c r="LF19" s="235"/>
      <c r="LG19" s="235"/>
      <c r="LH19" s="235"/>
      <c r="LI19" s="235"/>
      <c r="LJ19" s="235"/>
      <c r="LK19" s="235"/>
      <c r="LL19" s="235"/>
      <c r="LM19" s="235"/>
      <c r="LN19" s="235"/>
      <c r="LO19" s="235"/>
      <c r="LP19" s="235"/>
      <c r="LQ19" s="235"/>
      <c r="LR19" s="235"/>
      <c r="LS19" s="235"/>
      <c r="LT19" s="235"/>
      <c r="LU19" s="235"/>
      <c r="LV19" s="235"/>
      <c r="LW19" s="235"/>
      <c r="LX19" s="235"/>
      <c r="LY19" s="235"/>
      <c r="LZ19" s="235"/>
      <c r="MA19" s="235"/>
      <c r="MB19" s="235"/>
      <c r="MC19" s="235"/>
      <c r="MD19" s="235"/>
      <c r="ME19" s="235"/>
      <c r="MF19" s="235"/>
      <c r="MG19" s="235"/>
      <c r="MH19" s="235"/>
      <c r="MI19" s="235"/>
      <c r="MJ19" s="235"/>
      <c r="MK19" s="235"/>
      <c r="ML19" s="235"/>
      <c r="MM19" s="235"/>
      <c r="MN19" s="235"/>
      <c r="MO19" s="235"/>
      <c r="MP19" s="235"/>
      <c r="MQ19" s="235"/>
      <c r="MR19" s="235"/>
      <c r="MS19" s="235"/>
      <c r="MT19" s="235"/>
      <c r="MU19" s="235"/>
      <c r="MV19" s="235"/>
      <c r="MW19" s="235"/>
      <c r="MX19" s="235"/>
      <c r="MY19" s="235"/>
      <c r="MZ19" s="235"/>
      <c r="NA19" s="235"/>
      <c r="NB19" s="235"/>
      <c r="NC19" s="235"/>
      <c r="ND19" s="235"/>
      <c r="NE19" s="235"/>
      <c r="NF19" s="235"/>
      <c r="NG19" s="235"/>
      <c r="NH19" s="235"/>
      <c r="NI19" s="235"/>
      <c r="NJ19" s="235"/>
      <c r="NK19" s="235"/>
      <c r="NL19" s="235"/>
      <c r="NM19" s="235"/>
      <c r="NN19" s="235"/>
      <c r="NO19" s="235"/>
      <c r="NP19" s="235"/>
      <c r="NQ19" s="235"/>
      <c r="NR19" s="235"/>
      <c r="NS19" s="235"/>
      <c r="NT19" s="235"/>
      <c r="NU19" s="235"/>
      <c r="NV19" s="235"/>
      <c r="NW19" s="235"/>
      <c r="NX19" s="235"/>
      <c r="NY19" s="235"/>
      <c r="NZ19" s="235"/>
      <c r="OA19" s="235"/>
      <c r="OB19" s="235"/>
      <c r="OC19" s="235"/>
      <c r="OD19" s="235"/>
      <c r="OE19" s="235"/>
      <c r="OF19" s="235"/>
      <c r="OG19" s="235"/>
      <c r="OH19" s="235"/>
      <c r="OI19" s="235"/>
      <c r="OJ19" s="235"/>
      <c r="OK19" s="235"/>
      <c r="OL19" s="235"/>
      <c r="OM19" s="235"/>
      <c r="ON19" s="235"/>
      <c r="OO19" s="235"/>
      <c r="OP19" s="235"/>
      <c r="OQ19" s="235"/>
      <c r="OR19" s="235"/>
      <c r="OS19" s="235"/>
      <c r="OT19" s="235"/>
      <c r="OU19" s="235"/>
      <c r="OV19" s="235"/>
      <c r="OW19" s="235"/>
      <c r="OX19" s="235"/>
      <c r="OY19" s="235"/>
      <c r="OZ19" s="235"/>
      <c r="PA19" s="235"/>
      <c r="PB19" s="235"/>
      <c r="PC19" s="235"/>
      <c r="PD19" s="235"/>
      <c r="PE19" s="235"/>
      <c r="PF19" s="235"/>
      <c r="PG19" s="235"/>
      <c r="PH19" s="235"/>
      <c r="PI19" s="235"/>
      <c r="PJ19" s="235"/>
      <c r="PK19" s="235"/>
      <c r="PL19" s="235"/>
      <c r="PM19" s="235"/>
      <c r="PN19" s="235"/>
      <c r="PO19" s="235"/>
      <c r="PP19" s="235"/>
      <c r="PQ19" s="235"/>
      <c r="PR19" s="235"/>
      <c r="PS19" s="235"/>
      <c r="PT19" s="235"/>
      <c r="PU19" s="235"/>
      <c r="PV19" s="235"/>
      <c r="PW19" s="235"/>
      <c r="PX19" s="235"/>
      <c r="PY19" s="235"/>
      <c r="PZ19" s="235"/>
      <c r="QA19" s="235"/>
      <c r="QB19" s="235"/>
      <c r="QC19" s="235"/>
      <c r="QD19" s="235"/>
      <c r="QE19" s="235"/>
      <c r="QF19" s="235"/>
      <c r="QG19" s="235"/>
      <c r="QH19" s="235"/>
      <c r="QI19" s="235"/>
      <c r="QJ19" s="235"/>
      <c r="QK19" s="235"/>
      <c r="QL19" s="235"/>
      <c r="QM19" s="235"/>
      <c r="QN19" s="235"/>
      <c r="QO19" s="235"/>
      <c r="QP19" s="235"/>
      <c r="QQ19" s="235"/>
      <c r="QR19" s="235"/>
      <c r="QS19" s="235"/>
      <c r="QT19" s="235"/>
      <c r="QU19" s="235"/>
      <c r="QV19" s="235"/>
      <c r="QW19" s="235"/>
      <c r="QX19" s="235"/>
      <c r="QY19" s="235"/>
      <c r="QZ19" s="235"/>
      <c r="RA19" s="235"/>
      <c r="RB19" s="235"/>
      <c r="RC19" s="235"/>
      <c r="RD19" s="235"/>
      <c r="RE19" s="235"/>
      <c r="RF19" s="235"/>
      <c r="RG19" s="235"/>
      <c r="RH19" s="235"/>
      <c r="RI19" s="235"/>
      <c r="RJ19" s="235"/>
      <c r="RK19" s="235"/>
      <c r="RL19" s="235"/>
      <c r="RM19" s="235"/>
      <c r="RN19" s="235"/>
      <c r="RO19" s="235"/>
      <c r="RP19" s="235"/>
      <c r="RQ19" s="235"/>
      <c r="RR19" s="235"/>
      <c r="RS19" s="235"/>
      <c r="RT19" s="235"/>
      <c r="RU19" s="235"/>
      <c r="RV19" s="235"/>
      <c r="RW19" s="235"/>
      <c r="RX19" s="235"/>
      <c r="RY19" s="235"/>
      <c r="RZ19" s="235"/>
      <c r="SA19" s="235"/>
      <c r="SB19" s="235"/>
      <c r="SC19" s="235"/>
      <c r="SD19" s="235"/>
      <c r="SE19" s="235"/>
      <c r="SF19" s="235"/>
      <c r="SG19" s="235"/>
      <c r="SH19" s="235"/>
      <c r="SI19" s="235"/>
      <c r="SJ19" s="235"/>
      <c r="SK19" s="235"/>
      <c r="SL19" s="235"/>
      <c r="SM19" s="235"/>
      <c r="SN19" s="235"/>
      <c r="SO19" s="235"/>
      <c r="SP19" s="235"/>
      <c r="SQ19" s="235"/>
      <c r="SR19" s="235"/>
      <c r="SS19" s="235"/>
      <c r="ST19" s="235"/>
      <c r="SU19" s="235"/>
      <c r="SV19" s="235"/>
      <c r="SW19" s="235"/>
      <c r="SX19" s="235"/>
      <c r="SY19" s="235"/>
      <c r="SZ19" s="235"/>
      <c r="TA19" s="235"/>
      <c r="TB19" s="235"/>
      <c r="TC19" s="235"/>
      <c r="TD19" s="235"/>
      <c r="TE19" s="235"/>
      <c r="TF19" s="235"/>
      <c r="TG19" s="235"/>
      <c r="TH19" s="235"/>
      <c r="TI19" s="235"/>
      <c r="TJ19" s="235"/>
      <c r="TK19" s="235"/>
      <c r="TL19" s="235"/>
      <c r="TM19" s="235"/>
      <c r="TN19" s="235"/>
      <c r="TO19" s="235"/>
      <c r="TP19" s="235"/>
      <c r="TQ19" s="235"/>
      <c r="TR19" s="235"/>
      <c r="TS19" s="235"/>
      <c r="TT19" s="235"/>
      <c r="TU19" s="235"/>
      <c r="TV19" s="235"/>
      <c r="TW19" s="235"/>
      <c r="TX19" s="235"/>
      <c r="TY19" s="235"/>
      <c r="TZ19" s="235"/>
      <c r="UA19" s="235"/>
      <c r="UB19" s="235"/>
      <c r="UC19" s="235"/>
      <c r="UD19" s="235"/>
      <c r="UE19" s="235"/>
      <c r="UF19" s="235"/>
      <c r="UG19" s="235"/>
      <c r="UH19" s="235"/>
      <c r="UI19" s="235"/>
      <c r="UJ19" s="235"/>
      <c r="UK19" s="235"/>
      <c r="UL19" s="235"/>
      <c r="UM19" s="235"/>
      <c r="UN19" s="235"/>
      <c r="UO19" s="235"/>
      <c r="UP19" s="235"/>
      <c r="UQ19" s="235"/>
      <c r="UR19" s="235"/>
      <c r="US19" s="235"/>
      <c r="UT19" s="235"/>
      <c r="UU19" s="235"/>
      <c r="UV19" s="235"/>
      <c r="UW19" s="235"/>
      <c r="UX19" s="235"/>
      <c r="UY19" s="235"/>
      <c r="UZ19" s="235"/>
      <c r="VA19" s="235"/>
      <c r="VB19" s="235"/>
      <c r="VC19" s="235"/>
      <c r="VD19" s="235"/>
      <c r="VE19" s="235"/>
      <c r="VF19" s="235"/>
      <c r="VG19" s="235"/>
      <c r="VH19" s="235"/>
      <c r="VI19" s="235"/>
      <c r="VJ19" s="235"/>
      <c r="VK19" s="235"/>
      <c r="VL19" s="235"/>
      <c r="VM19" s="235"/>
      <c r="VN19" s="235"/>
      <c r="VO19" s="235"/>
      <c r="VP19" s="235"/>
      <c r="VQ19" s="235"/>
      <c r="VR19" s="235"/>
      <c r="VS19" s="235"/>
      <c r="VT19" s="235"/>
      <c r="VU19" s="235"/>
      <c r="VV19" s="235"/>
      <c r="VW19" s="235"/>
      <c r="VX19" s="235"/>
      <c r="VY19" s="235"/>
      <c r="VZ19" s="235"/>
      <c r="WA19" s="235"/>
      <c r="WB19" s="235"/>
      <c r="WC19" s="235"/>
      <c r="WD19" s="235"/>
      <c r="WE19" s="235"/>
      <c r="WF19" s="235"/>
      <c r="WG19" s="235"/>
      <c r="WH19" s="235"/>
      <c r="WI19" s="235"/>
      <c r="WJ19" s="235"/>
      <c r="WK19" s="235"/>
      <c r="WL19" s="235"/>
      <c r="WM19" s="235"/>
      <c r="WN19" s="235"/>
      <c r="WO19" s="235"/>
      <c r="WP19" s="235"/>
      <c r="WQ19" s="235"/>
      <c r="WR19" s="235"/>
      <c r="WS19" s="235"/>
      <c r="WT19" s="235"/>
      <c r="WU19" s="235"/>
      <c r="WV19" s="235"/>
      <c r="WW19" s="235"/>
      <c r="WX19" s="235"/>
      <c r="WY19" s="235"/>
      <c r="WZ19" s="235"/>
      <c r="XA19" s="235"/>
      <c r="XB19" s="235"/>
      <c r="XC19" s="235"/>
      <c r="XD19" s="235"/>
      <c r="XE19" s="235"/>
      <c r="XF19" s="235"/>
      <c r="XG19" s="235"/>
      <c r="XH19" s="235"/>
      <c r="XI19" s="235"/>
      <c r="XJ19" s="235"/>
      <c r="XK19" s="235"/>
      <c r="XL19" s="235"/>
      <c r="XM19" s="235"/>
      <c r="XN19" s="235"/>
      <c r="XO19" s="235"/>
      <c r="XP19" s="235"/>
      <c r="XQ19" s="235"/>
      <c r="XR19" s="235"/>
      <c r="XS19" s="235"/>
      <c r="XT19" s="235"/>
      <c r="XU19" s="235"/>
      <c r="XV19" s="235"/>
      <c r="XW19" s="235"/>
      <c r="XX19" s="235"/>
      <c r="XY19" s="235"/>
      <c r="XZ19" s="235"/>
      <c r="YA19" s="235"/>
      <c r="YB19" s="235"/>
      <c r="YC19" s="235"/>
      <c r="YD19" s="235"/>
      <c r="YE19" s="235"/>
      <c r="YF19" s="235"/>
      <c r="YG19" s="235"/>
      <c r="YH19" s="235"/>
      <c r="YI19" s="235"/>
      <c r="YJ19" s="235"/>
      <c r="YK19" s="235"/>
      <c r="YL19" s="235"/>
      <c r="YM19" s="235"/>
      <c r="YN19" s="235"/>
      <c r="YO19" s="235"/>
      <c r="YP19" s="235"/>
      <c r="YQ19" s="235"/>
      <c r="YR19" s="235"/>
      <c r="YS19" s="235"/>
      <c r="YT19" s="235"/>
      <c r="YU19" s="235"/>
      <c r="YV19" s="235"/>
      <c r="YW19" s="235"/>
      <c r="YX19" s="235"/>
      <c r="YY19" s="235"/>
      <c r="YZ19" s="235"/>
      <c r="ZA19" s="235"/>
      <c r="ZB19" s="235"/>
      <c r="ZC19" s="235"/>
      <c r="ZD19" s="235"/>
      <c r="ZE19" s="235"/>
      <c r="ZF19" s="235"/>
      <c r="ZG19" s="235"/>
      <c r="ZH19" s="235"/>
      <c r="ZI19" s="235"/>
      <c r="ZJ19" s="235"/>
      <c r="ZK19" s="235"/>
      <c r="ZL19" s="235"/>
      <c r="ZM19" s="235"/>
      <c r="ZN19" s="235"/>
      <c r="ZO19" s="235"/>
      <c r="ZP19" s="235"/>
      <c r="ZQ19" s="235"/>
      <c r="ZR19" s="235"/>
      <c r="ZS19" s="235"/>
      <c r="ZT19" s="235"/>
      <c r="ZU19" s="235"/>
      <c r="ZV19" s="235"/>
      <c r="ZW19" s="235"/>
      <c r="ZX19" s="235"/>
      <c r="ZY19" s="235"/>
      <c r="ZZ19" s="235"/>
      <c r="AAA19" s="235"/>
      <c r="AAB19" s="235"/>
      <c r="AAC19" s="235"/>
      <c r="AAD19" s="235"/>
      <c r="AAE19" s="235"/>
      <c r="AAF19" s="235"/>
      <c r="AAG19" s="235"/>
      <c r="AAH19" s="235"/>
      <c r="AAI19" s="235"/>
      <c r="AAJ19" s="235"/>
      <c r="AAK19" s="235"/>
      <c r="AAL19" s="235"/>
      <c r="AAM19" s="235"/>
      <c r="AAN19" s="235"/>
      <c r="AAO19" s="235"/>
      <c r="AAP19" s="235"/>
      <c r="AAQ19" s="235"/>
      <c r="AAR19" s="235"/>
      <c r="AAS19" s="235"/>
      <c r="AAT19" s="235"/>
      <c r="AAU19" s="235"/>
      <c r="AAV19" s="235"/>
      <c r="AAW19" s="235"/>
      <c r="AAX19" s="235"/>
      <c r="AAY19" s="235"/>
      <c r="AAZ19" s="235"/>
      <c r="ABA19" s="235"/>
      <c r="ABB19" s="235"/>
      <c r="ABC19" s="235"/>
      <c r="ABD19" s="235"/>
      <c r="ABE19" s="235"/>
      <c r="ABF19" s="235"/>
      <c r="ABG19" s="235"/>
      <c r="ABH19" s="235"/>
      <c r="ABI19" s="235"/>
      <c r="ABJ19" s="235"/>
      <c r="ABK19" s="235"/>
      <c r="ABL19" s="235"/>
      <c r="ABM19" s="235"/>
      <c r="ABN19" s="235"/>
      <c r="ABO19" s="235"/>
      <c r="ABP19" s="235"/>
      <c r="ABQ19" s="235"/>
      <c r="ABR19" s="235"/>
      <c r="ABS19" s="235"/>
      <c r="ABT19" s="235"/>
      <c r="ABU19" s="235"/>
      <c r="ABV19" s="235"/>
      <c r="ABW19" s="235"/>
      <c r="ABX19" s="235"/>
      <c r="ABY19" s="235"/>
      <c r="ABZ19" s="235"/>
      <c r="ACA19" s="235"/>
      <c r="ACB19" s="235"/>
      <c r="ACC19" s="235"/>
      <c r="ACD19" s="235"/>
      <c r="ACE19" s="235"/>
      <c r="ACF19" s="235"/>
      <c r="ACG19" s="235"/>
      <c r="ACH19" s="235"/>
      <c r="ACI19" s="235"/>
      <c r="ACJ19" s="235"/>
      <c r="ACK19" s="235"/>
      <c r="ACL19" s="235"/>
      <c r="ACM19" s="235"/>
      <c r="ACN19" s="235"/>
      <c r="ACO19" s="235"/>
      <c r="ACP19" s="235"/>
      <c r="ACQ19" s="235"/>
      <c r="ACR19" s="235"/>
      <c r="ACS19" s="235"/>
      <c r="ACT19" s="235"/>
      <c r="ACU19" s="235"/>
      <c r="ACV19" s="235"/>
      <c r="ACW19" s="235"/>
      <c r="ACX19" s="235"/>
      <c r="ACY19" s="235"/>
      <c r="ACZ19" s="235"/>
      <c r="ADA19" s="235"/>
      <c r="ADB19" s="235"/>
      <c r="ADC19" s="235"/>
      <c r="ADD19" s="235"/>
      <c r="ADE19" s="235"/>
      <c r="ADF19" s="235"/>
      <c r="ADG19" s="235"/>
      <c r="ADH19" s="235"/>
      <c r="ADI19" s="235"/>
      <c r="ADJ19" s="235"/>
      <c r="ADK19" s="235"/>
      <c r="ADL19" s="235"/>
      <c r="ADM19" s="235"/>
      <c r="ADN19" s="235"/>
      <c r="ADO19" s="235"/>
      <c r="ADP19" s="235"/>
      <c r="ADQ19" s="235"/>
      <c r="ADR19" s="235"/>
      <c r="ADS19" s="235"/>
      <c r="ADT19" s="235"/>
      <c r="ADU19" s="235"/>
      <c r="ADV19" s="235"/>
      <c r="ADW19" s="235"/>
      <c r="ADX19" s="235"/>
      <c r="ADY19" s="235"/>
      <c r="ADZ19" s="235"/>
      <c r="AEA19" s="235"/>
      <c r="AEB19" s="235"/>
      <c r="AEC19" s="235"/>
      <c r="AED19" s="235"/>
      <c r="AEE19" s="235"/>
      <c r="AEF19" s="235"/>
      <c r="AEG19" s="235"/>
      <c r="AEH19" s="235"/>
      <c r="AEI19" s="235"/>
      <c r="AEJ19" s="235"/>
      <c r="AEK19" s="235"/>
      <c r="AEL19" s="235"/>
      <c r="AEM19" s="235"/>
      <c r="AEN19" s="235"/>
      <c r="AEO19" s="235"/>
      <c r="AEP19" s="235"/>
      <c r="AEQ19" s="235"/>
      <c r="AER19" s="235"/>
      <c r="AES19" s="235"/>
      <c r="AET19" s="235"/>
      <c r="AEU19" s="235"/>
      <c r="AEV19" s="235"/>
      <c r="AEW19" s="235"/>
      <c r="AEX19" s="235"/>
      <c r="AEY19" s="235"/>
      <c r="AEZ19" s="235"/>
      <c r="AFA19" s="235"/>
      <c r="AFB19" s="235"/>
      <c r="AFC19" s="235"/>
      <c r="AFD19" s="235"/>
      <c r="AFE19" s="235"/>
      <c r="AFF19" s="235"/>
      <c r="AFG19" s="235"/>
      <c r="AFH19" s="235"/>
      <c r="AFI19" s="235"/>
      <c r="AFJ19" s="235"/>
      <c r="AFK19" s="235"/>
      <c r="AFL19" s="235"/>
      <c r="AFM19" s="235"/>
      <c r="AFN19" s="235"/>
      <c r="AFO19" s="235"/>
      <c r="AFP19" s="235"/>
      <c r="AFQ19" s="235"/>
      <c r="AFR19" s="235"/>
      <c r="AFS19" s="235"/>
      <c r="AFT19" s="235"/>
      <c r="AFU19" s="235"/>
      <c r="AFV19" s="235"/>
      <c r="AFW19" s="235"/>
      <c r="AFX19" s="235"/>
      <c r="AFY19" s="235"/>
      <c r="AFZ19" s="235"/>
      <c r="AGA19" s="235"/>
      <c r="AGB19" s="235"/>
      <c r="AGC19" s="235"/>
      <c r="AGD19" s="235"/>
      <c r="AGE19" s="235"/>
      <c r="AGF19" s="235"/>
      <c r="AGG19" s="235"/>
      <c r="AGH19" s="235"/>
      <c r="AGI19" s="235"/>
      <c r="AGJ19" s="235"/>
      <c r="AGK19" s="235"/>
      <c r="AGL19" s="235"/>
      <c r="AGM19" s="235"/>
      <c r="AGN19" s="235"/>
      <c r="AGO19" s="235"/>
      <c r="AGP19" s="235"/>
      <c r="AGQ19" s="235"/>
      <c r="AGR19" s="235"/>
      <c r="AGS19" s="235"/>
      <c r="AGT19" s="235"/>
      <c r="AGU19" s="235"/>
      <c r="AGV19" s="235"/>
      <c r="AGW19" s="235"/>
      <c r="AGX19" s="235"/>
      <c r="AGY19" s="235"/>
      <c r="AGZ19" s="235"/>
      <c r="AHA19" s="235"/>
      <c r="AHB19" s="235"/>
      <c r="AHC19" s="235"/>
      <c r="AHD19" s="235"/>
      <c r="AHE19" s="235"/>
      <c r="AHF19" s="235"/>
      <c r="AHG19" s="235"/>
      <c r="AHH19" s="235"/>
      <c r="AHI19" s="235"/>
      <c r="AHJ19" s="235"/>
      <c r="AHK19" s="235"/>
      <c r="AHL19" s="235"/>
      <c r="AHM19" s="235"/>
      <c r="AHN19" s="235"/>
      <c r="AHO19" s="235"/>
      <c r="AHP19" s="235"/>
      <c r="AHQ19" s="235"/>
      <c r="AHR19" s="235"/>
      <c r="AHS19" s="235"/>
      <c r="AHT19" s="235"/>
      <c r="AHU19" s="235"/>
      <c r="AHV19" s="235"/>
      <c r="AHW19" s="235"/>
      <c r="AHX19" s="235"/>
      <c r="AHY19" s="235"/>
      <c r="AHZ19" s="235"/>
      <c r="AIA19" s="235"/>
      <c r="AIB19" s="235"/>
      <c r="AIC19" s="235"/>
      <c r="AID19" s="235"/>
      <c r="AIE19" s="235"/>
      <c r="AIF19" s="235"/>
      <c r="AIG19" s="235"/>
      <c r="AIH19" s="235"/>
      <c r="AII19" s="235"/>
      <c r="AIJ19" s="235"/>
      <c r="AIK19" s="235"/>
      <c r="AIL19" s="235"/>
      <c r="AIM19" s="235"/>
      <c r="AIN19" s="235"/>
      <c r="AIO19" s="235"/>
      <c r="AIP19" s="235"/>
      <c r="AIQ19" s="235"/>
      <c r="AIR19" s="235"/>
      <c r="AIS19" s="235"/>
      <c r="AIT19" s="235"/>
      <c r="AIU19" s="235"/>
      <c r="AIV19" s="235"/>
      <c r="AIW19" s="235"/>
      <c r="AIX19" s="235"/>
      <c r="AIY19" s="235"/>
      <c r="AIZ19" s="235"/>
      <c r="AJA19" s="235"/>
      <c r="AJB19" s="235"/>
      <c r="AJC19" s="235"/>
      <c r="AJD19" s="235"/>
      <c r="AJE19" s="235"/>
      <c r="AJF19" s="235"/>
      <c r="AJG19" s="235"/>
      <c r="AJH19" s="235"/>
      <c r="AJI19" s="235"/>
      <c r="AJJ19" s="235"/>
      <c r="AJK19" s="235"/>
      <c r="AJL19" s="235"/>
      <c r="AJM19" s="235"/>
      <c r="AJN19" s="235"/>
      <c r="AJO19" s="235"/>
      <c r="AJP19" s="235"/>
      <c r="AJQ19" s="235"/>
      <c r="AJR19" s="235"/>
      <c r="AJS19" s="235"/>
      <c r="AJT19" s="235"/>
      <c r="AJU19" s="235"/>
      <c r="AJV19" s="235"/>
      <c r="AJW19" s="235"/>
      <c r="AJX19" s="235"/>
      <c r="AJY19" s="235"/>
      <c r="AJZ19" s="235"/>
      <c r="AKA19" s="235"/>
      <c r="AKB19" s="235"/>
      <c r="AKC19" s="235"/>
      <c r="AKD19" s="235"/>
      <c r="AKE19" s="235"/>
      <c r="AKF19" s="235"/>
      <c r="AKG19" s="235"/>
      <c r="AKH19" s="235"/>
      <c r="AKI19" s="235"/>
      <c r="AKJ19" s="235"/>
      <c r="AKK19" s="235"/>
      <c r="AKL19" s="235"/>
      <c r="AKM19" s="235"/>
      <c r="AKN19" s="235"/>
      <c r="AKO19" s="235"/>
      <c r="AKP19" s="235"/>
      <c r="AKQ19" s="235"/>
      <c r="AKR19" s="235"/>
      <c r="AKS19" s="235"/>
      <c r="AKT19" s="235"/>
      <c r="AKU19" s="235"/>
      <c r="AKV19" s="235"/>
      <c r="AKW19" s="235"/>
      <c r="AKX19" s="235"/>
      <c r="AKY19" s="235"/>
      <c r="AKZ19" s="235"/>
      <c r="ALA19" s="235"/>
      <c r="ALB19" s="235"/>
      <c r="ALC19" s="235"/>
      <c r="ALD19" s="235"/>
      <c r="ALE19" s="235"/>
      <c r="ALF19" s="235"/>
      <c r="ALG19" s="235"/>
      <c r="ALH19" s="235"/>
      <c r="ALI19" s="235"/>
      <c r="ALJ19" s="235"/>
      <c r="ALK19" s="235"/>
      <c r="ALL19" s="235"/>
      <c r="ALM19" s="235"/>
      <c r="ALN19" s="235"/>
      <c r="ALO19" s="235"/>
      <c r="ALP19" s="235"/>
      <c r="ALQ19" s="235"/>
      <c r="ALR19" s="235"/>
      <c r="ALS19" s="235"/>
      <c r="ALT19" s="235"/>
      <c r="ALU19" s="235"/>
      <c r="ALV19" s="235"/>
      <c r="ALW19" s="235"/>
      <c r="ALX19" s="235"/>
      <c r="ALY19" s="235"/>
      <c r="ALZ19" s="235"/>
      <c r="AMA19" s="235"/>
      <c r="AMB19" s="235"/>
      <c r="AMC19" s="235"/>
      <c r="AMD19" s="235"/>
      <c r="AME19" s="235"/>
      <c r="AMF19" s="235"/>
      <c r="AMG19" s="235"/>
      <c r="AMH19" s="235"/>
      <c r="AMI19" s="235"/>
      <c r="AMJ19" s="235"/>
    </row>
    <row r="20" s="235" customFormat="true" ht="18" hidden="false" customHeight="true" outlineLevel="0" collapsed="false">
      <c r="B20" s="236" t="s">
        <v>22</v>
      </c>
      <c r="C20" s="236" t="s">
        <v>22</v>
      </c>
      <c r="D20" s="237" t="s">
        <v>143</v>
      </c>
      <c r="E20" s="230" t="s">
        <v>278</v>
      </c>
      <c r="F20" s="238" t="n">
        <f aca="false">(96*2)/60</f>
        <v>3.2</v>
      </c>
      <c r="G20" s="231" t="n">
        <v>0.025</v>
      </c>
      <c r="H20" s="231" t="n">
        <f aca="false">HLOOKUP(G20,BDI!$D$19:$J$30,12,)</f>
        <v>0.2288</v>
      </c>
      <c r="I20" s="239" t="n">
        <v>1331.03</v>
      </c>
      <c r="J20" s="239" t="n">
        <v>1145.6</v>
      </c>
      <c r="K20" s="239" t="n">
        <v>185.43</v>
      </c>
      <c r="L20" s="239" t="n">
        <v>0</v>
      </c>
      <c r="M20" s="239" t="s">
        <v>262</v>
      </c>
      <c r="N20" s="239" t="s">
        <v>260</v>
      </c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24"/>
      <c r="DG20" s="124"/>
      <c r="DH20" s="124"/>
      <c r="DI20" s="124"/>
      <c r="DJ20" s="124"/>
      <c r="DK20" s="124"/>
      <c r="DL20" s="124"/>
      <c r="DM20" s="124"/>
      <c r="DN20" s="124"/>
      <c r="DO20" s="124"/>
      <c r="DP20" s="124"/>
      <c r="DQ20" s="124"/>
      <c r="DR20" s="124"/>
      <c r="DS20" s="124"/>
      <c r="DT20" s="124"/>
      <c r="DU20" s="124"/>
      <c r="DV20" s="124"/>
      <c r="DW20" s="124"/>
      <c r="DX20" s="124"/>
      <c r="DY20" s="124"/>
      <c r="DZ20" s="124"/>
      <c r="EA20" s="124"/>
      <c r="EB20" s="124"/>
      <c r="EC20" s="124"/>
      <c r="ED20" s="124"/>
      <c r="EE20" s="124"/>
      <c r="EF20" s="124"/>
      <c r="EG20" s="124"/>
      <c r="EH20" s="124"/>
      <c r="EI20" s="124"/>
      <c r="EJ20" s="124"/>
      <c r="EK20" s="124"/>
      <c r="EL20" s="124"/>
      <c r="EM20" s="124"/>
      <c r="EN20" s="124"/>
      <c r="EO20" s="124"/>
      <c r="EP20" s="124"/>
      <c r="EQ20" s="124"/>
      <c r="ER20" s="124"/>
      <c r="ES20" s="124"/>
      <c r="ET20" s="124"/>
      <c r="EU20" s="124"/>
      <c r="EV20" s="124"/>
      <c r="EW20" s="124"/>
      <c r="EX20" s="124"/>
      <c r="EY20" s="124"/>
      <c r="EZ20" s="124"/>
      <c r="FA20" s="124"/>
      <c r="FB20" s="124"/>
      <c r="FC20" s="124"/>
      <c r="FD20" s="124"/>
      <c r="FE20" s="124"/>
      <c r="FF20" s="124"/>
      <c r="FG20" s="124"/>
      <c r="FH20" s="124"/>
      <c r="FI20" s="124"/>
      <c r="FJ20" s="124"/>
      <c r="FK20" s="124"/>
      <c r="FL20" s="124"/>
      <c r="FM20" s="124"/>
      <c r="FN20" s="124"/>
      <c r="FO20" s="124"/>
      <c r="FP20" s="124"/>
      <c r="FQ20" s="124"/>
      <c r="FR20" s="124"/>
      <c r="FS20" s="124"/>
      <c r="FT20" s="124"/>
      <c r="FU20" s="124"/>
      <c r="FV20" s="124"/>
      <c r="FW20" s="124"/>
      <c r="FX20" s="124"/>
      <c r="FY20" s="124"/>
      <c r="FZ20" s="124"/>
      <c r="GA20" s="124"/>
      <c r="GB20" s="124"/>
      <c r="GC20" s="124"/>
      <c r="GD20" s="124"/>
      <c r="GE20" s="124"/>
      <c r="GF20" s="124"/>
      <c r="GG20" s="124"/>
      <c r="GH20" s="124"/>
      <c r="GI20" s="124"/>
      <c r="GJ20" s="124"/>
      <c r="GK20" s="124"/>
      <c r="GL20" s="124"/>
      <c r="GM20" s="124"/>
      <c r="GN20" s="124"/>
      <c r="GO20" s="124"/>
      <c r="GP20" s="124"/>
      <c r="GQ20" s="124"/>
      <c r="GR20" s="124"/>
      <c r="GS20" s="124"/>
      <c r="GT20" s="124"/>
      <c r="GU20" s="124"/>
      <c r="GV20" s="124"/>
      <c r="GW20" s="124"/>
      <c r="GX20" s="124"/>
      <c r="GY20" s="124"/>
      <c r="GZ20" s="124"/>
      <c r="HA20" s="124"/>
      <c r="HB20" s="124"/>
      <c r="HC20" s="124"/>
      <c r="HD20" s="124"/>
      <c r="HE20" s="124"/>
      <c r="HF20" s="124"/>
      <c r="HG20" s="124"/>
      <c r="HH20" s="124"/>
      <c r="HI20" s="124"/>
      <c r="HJ20" s="124"/>
      <c r="HK20" s="124"/>
      <c r="HL20" s="124"/>
      <c r="HM20" s="124"/>
      <c r="HN20" s="124"/>
      <c r="HO20" s="124"/>
      <c r="HP20" s="124"/>
      <c r="HQ20" s="124"/>
      <c r="HR20" s="124"/>
      <c r="HS20" s="124"/>
      <c r="HT20" s="124"/>
      <c r="HU20" s="124"/>
      <c r="HV20" s="124"/>
      <c r="HW20" s="124"/>
      <c r="HX20" s="124"/>
      <c r="HY20" s="124"/>
      <c r="HZ20" s="124"/>
      <c r="IA20" s="124"/>
      <c r="IB20" s="124"/>
      <c r="IC20" s="124"/>
      <c r="ID20" s="124"/>
      <c r="IE20" s="124"/>
      <c r="IF20" s="124"/>
      <c r="IG20" s="124"/>
      <c r="IH20" s="124"/>
      <c r="II20" s="124"/>
      <c r="IJ20" s="124"/>
      <c r="IK20" s="124"/>
      <c r="IL20" s="124"/>
      <c r="IM20" s="124"/>
      <c r="IN20" s="124"/>
      <c r="IO20" s="124"/>
      <c r="IP20" s="124"/>
      <c r="IQ20" s="124"/>
      <c r="IR20" s="124"/>
      <c r="IS20" s="124"/>
      <c r="IT20" s="124"/>
      <c r="IU20" s="124"/>
      <c r="IV20" s="124"/>
      <c r="IW20" s="124"/>
      <c r="IX20" s="124"/>
      <c r="IY20" s="124"/>
    </row>
    <row r="21" customFormat="false" ht="18" hidden="false" customHeight="true" outlineLevel="0" collapsed="false">
      <c r="B21" s="228" t="s">
        <v>22</v>
      </c>
      <c r="C21" s="228" t="s">
        <v>22</v>
      </c>
      <c r="D21" s="229" t="s">
        <v>140</v>
      </c>
      <c r="E21" s="230" t="s">
        <v>279</v>
      </c>
      <c r="F21" s="66" t="n">
        <f aca="false">(43*2)/60</f>
        <v>1.43333333333333</v>
      </c>
      <c r="G21" s="231" t="n">
        <v>0.03</v>
      </c>
      <c r="H21" s="231" t="n">
        <f aca="false">HLOOKUP(G21,BDI!$D$19:$J$30,12,)</f>
        <v>0.2354</v>
      </c>
      <c r="I21" s="232" t="n">
        <v>2263.27</v>
      </c>
      <c r="J21" s="232" t="n">
        <v>729.05</v>
      </c>
      <c r="K21" s="232" t="n">
        <v>578.15</v>
      </c>
      <c r="L21" s="232" t="n">
        <v>956.07</v>
      </c>
      <c r="M21" s="232" t="s">
        <v>260</v>
      </c>
      <c r="N21" s="232" t="s">
        <v>262</v>
      </c>
    </row>
    <row r="22" customFormat="false" ht="18" hidden="false" customHeight="true" outlineLevel="0" collapsed="false">
      <c r="B22" s="228" t="s">
        <v>22</v>
      </c>
      <c r="C22" s="228" t="s">
        <v>22</v>
      </c>
      <c r="D22" s="229" t="s">
        <v>132</v>
      </c>
      <c r="E22" s="230" t="s">
        <v>280</v>
      </c>
      <c r="F22" s="66" t="n">
        <f aca="false">(6*2)/60</f>
        <v>0.2</v>
      </c>
      <c r="G22" s="231" t="n">
        <v>0.02</v>
      </c>
      <c r="H22" s="231" t="n">
        <f aca="false">HLOOKUP(G22,BDI!$D$19:$J$30,12,)</f>
        <v>0.2223</v>
      </c>
      <c r="I22" s="232" t="n">
        <v>726.75</v>
      </c>
      <c r="J22" s="232" t="n">
        <v>644.1</v>
      </c>
      <c r="K22" s="232" t="n">
        <v>82.65</v>
      </c>
      <c r="L22" s="232" t="n">
        <v>0</v>
      </c>
      <c r="M22" s="232" t="s">
        <v>260</v>
      </c>
      <c r="N22" s="232" t="s">
        <v>260</v>
      </c>
    </row>
    <row r="23" customFormat="false" ht="18" hidden="false" customHeight="true" outlineLevel="0" collapsed="false">
      <c r="B23" s="228" t="s">
        <v>22</v>
      </c>
      <c r="C23" s="228" t="s">
        <v>22</v>
      </c>
      <c r="D23" s="229" t="s">
        <v>138</v>
      </c>
      <c r="E23" s="230" t="s">
        <v>281</v>
      </c>
      <c r="F23" s="66" t="n">
        <f aca="false">(18*2)/60</f>
        <v>0.6</v>
      </c>
      <c r="G23" s="231" t="n">
        <v>0.025</v>
      </c>
      <c r="H23" s="231" t="n">
        <f aca="false">HLOOKUP(G23,BDI!$D$19:$J$30,12,)</f>
        <v>0.2288</v>
      </c>
      <c r="I23" s="232" t="n">
        <v>334.4</v>
      </c>
      <c r="J23" s="232" t="n">
        <v>296</v>
      </c>
      <c r="K23" s="232" t="n">
        <v>38.4</v>
      </c>
      <c r="L23" s="232" t="n">
        <v>0</v>
      </c>
      <c r="M23" s="232" t="s">
        <v>260</v>
      </c>
      <c r="N23" s="232" t="s">
        <v>260</v>
      </c>
    </row>
    <row r="24" customFormat="false" ht="18" hidden="false" customHeight="true" outlineLevel="0" collapsed="false">
      <c r="B24" s="228" t="s">
        <v>22</v>
      </c>
      <c r="C24" s="228" t="s">
        <v>22</v>
      </c>
      <c r="D24" s="229" t="s">
        <v>139</v>
      </c>
      <c r="E24" s="230" t="s">
        <v>282</v>
      </c>
      <c r="F24" s="66" t="n">
        <f aca="false">(16*2)/60</f>
        <v>0.533333333333333</v>
      </c>
      <c r="G24" s="231" t="n">
        <v>0.03</v>
      </c>
      <c r="H24" s="231" t="n">
        <f aca="false">HLOOKUP(G24,BDI!$D$19:$J$30,12,)</f>
        <v>0.2354</v>
      </c>
      <c r="I24" s="232" t="n">
        <v>2884.09</v>
      </c>
      <c r="J24" s="232" t="n">
        <v>0</v>
      </c>
      <c r="K24" s="232" t="n">
        <v>0</v>
      </c>
      <c r="L24" s="232" t="n">
        <v>2884.09</v>
      </c>
      <c r="M24" s="232" t="s">
        <v>260</v>
      </c>
      <c r="N24" s="232" t="s">
        <v>262</v>
      </c>
    </row>
    <row r="25" s="235" customFormat="true" ht="18" hidden="false" customHeight="true" outlineLevel="0" collapsed="false">
      <c r="B25" s="236" t="s">
        <v>22</v>
      </c>
      <c r="C25" s="236" t="s">
        <v>22</v>
      </c>
      <c r="D25" s="237" t="s">
        <v>141</v>
      </c>
      <c r="E25" s="230" t="s">
        <v>283</v>
      </c>
      <c r="F25" s="238" t="n">
        <f aca="false">(36*2)/60</f>
        <v>1.2</v>
      </c>
      <c r="G25" s="231" t="n">
        <v>0.03</v>
      </c>
      <c r="H25" s="231" t="n">
        <f aca="false">HLOOKUP(G25,BDI!$D$19:$J$30,12,)</f>
        <v>0.2354</v>
      </c>
      <c r="I25" s="239" t="n">
        <v>1082.18</v>
      </c>
      <c r="J25" s="239" t="n">
        <v>0</v>
      </c>
      <c r="K25" s="239" t="n">
        <v>0</v>
      </c>
      <c r="L25" s="239" t="n">
        <v>1082.18</v>
      </c>
      <c r="M25" s="239" t="s">
        <v>260</v>
      </c>
      <c r="N25" s="239" t="s">
        <v>262</v>
      </c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  <c r="CL25" s="124"/>
      <c r="CM25" s="124"/>
      <c r="CN25" s="124"/>
      <c r="CO25" s="124"/>
      <c r="CP25" s="124"/>
      <c r="CQ25" s="124"/>
      <c r="CR25" s="124"/>
      <c r="CS25" s="124"/>
      <c r="CT25" s="124"/>
      <c r="CU25" s="124"/>
      <c r="CV25" s="124"/>
      <c r="CW25" s="124"/>
      <c r="CX25" s="124"/>
      <c r="CY25" s="124"/>
      <c r="CZ25" s="124"/>
      <c r="DA25" s="124"/>
      <c r="DB25" s="124"/>
      <c r="DC25" s="124"/>
      <c r="DD25" s="124"/>
      <c r="DE25" s="124"/>
      <c r="DF25" s="124"/>
      <c r="DG25" s="124"/>
      <c r="DH25" s="124"/>
      <c r="DI25" s="124"/>
      <c r="DJ25" s="124"/>
      <c r="DK25" s="124"/>
      <c r="DL25" s="124"/>
      <c r="DM25" s="124"/>
      <c r="DN25" s="124"/>
      <c r="DO25" s="124"/>
      <c r="DP25" s="124"/>
      <c r="DQ25" s="124"/>
      <c r="DR25" s="124"/>
      <c r="DS25" s="124"/>
      <c r="DT25" s="124"/>
      <c r="DU25" s="124"/>
      <c r="DV25" s="124"/>
      <c r="DW25" s="124"/>
      <c r="DX25" s="124"/>
      <c r="DY25" s="124"/>
      <c r="DZ25" s="124"/>
      <c r="EA25" s="124"/>
      <c r="EB25" s="124"/>
      <c r="EC25" s="124"/>
      <c r="ED25" s="124"/>
      <c r="EE25" s="124"/>
      <c r="EF25" s="124"/>
      <c r="EG25" s="124"/>
      <c r="EH25" s="124"/>
      <c r="EI25" s="124"/>
      <c r="EJ25" s="124"/>
      <c r="EK25" s="124"/>
      <c r="EL25" s="124"/>
      <c r="EM25" s="124"/>
      <c r="EN25" s="124"/>
      <c r="EO25" s="124"/>
      <c r="EP25" s="124"/>
      <c r="EQ25" s="124"/>
      <c r="ER25" s="124"/>
      <c r="ES25" s="124"/>
      <c r="ET25" s="124"/>
      <c r="EU25" s="124"/>
      <c r="EV25" s="124"/>
      <c r="EW25" s="124"/>
      <c r="EX25" s="124"/>
      <c r="EY25" s="124"/>
      <c r="EZ25" s="124"/>
      <c r="FA25" s="124"/>
      <c r="FB25" s="124"/>
      <c r="FC25" s="124"/>
      <c r="FD25" s="124"/>
      <c r="FE25" s="124"/>
      <c r="FF25" s="124"/>
      <c r="FG25" s="124"/>
      <c r="FH25" s="124"/>
      <c r="FI25" s="124"/>
      <c r="FJ25" s="124"/>
      <c r="FK25" s="124"/>
      <c r="FL25" s="124"/>
      <c r="FM25" s="124"/>
      <c r="FN25" s="124"/>
      <c r="FO25" s="124"/>
      <c r="FP25" s="124"/>
      <c r="FQ25" s="124"/>
      <c r="FR25" s="124"/>
      <c r="FS25" s="124"/>
      <c r="FT25" s="124"/>
      <c r="FU25" s="124"/>
      <c r="FV25" s="124"/>
      <c r="FW25" s="124"/>
      <c r="FX25" s="124"/>
      <c r="FY25" s="124"/>
      <c r="FZ25" s="124"/>
      <c r="GA25" s="124"/>
      <c r="GB25" s="124"/>
      <c r="GC25" s="124"/>
      <c r="GD25" s="124"/>
      <c r="GE25" s="124"/>
      <c r="GF25" s="124"/>
      <c r="GG25" s="124"/>
      <c r="GH25" s="124"/>
      <c r="GI25" s="124"/>
      <c r="GJ25" s="124"/>
      <c r="GK25" s="124"/>
      <c r="GL25" s="124"/>
      <c r="GM25" s="124"/>
      <c r="GN25" s="124"/>
      <c r="GO25" s="124"/>
      <c r="GP25" s="124"/>
      <c r="GQ25" s="124"/>
      <c r="GR25" s="124"/>
      <c r="GS25" s="124"/>
      <c r="GT25" s="124"/>
      <c r="GU25" s="124"/>
      <c r="GV25" s="124"/>
      <c r="GW25" s="124"/>
      <c r="GX25" s="124"/>
      <c r="GY25" s="124"/>
      <c r="GZ25" s="124"/>
      <c r="HA25" s="124"/>
      <c r="HB25" s="124"/>
      <c r="HC25" s="124"/>
      <c r="HD25" s="124"/>
      <c r="HE25" s="124"/>
      <c r="HF25" s="124"/>
      <c r="HG25" s="124"/>
      <c r="HH25" s="124"/>
      <c r="HI25" s="124"/>
      <c r="HJ25" s="124"/>
      <c r="HK25" s="124"/>
      <c r="HL25" s="124"/>
      <c r="HM25" s="124"/>
      <c r="HN25" s="124"/>
      <c r="HO25" s="124"/>
      <c r="HP25" s="124"/>
      <c r="HQ25" s="124"/>
      <c r="HR25" s="124"/>
      <c r="HS25" s="124"/>
      <c r="HT25" s="124"/>
      <c r="HU25" s="124"/>
      <c r="HV25" s="124"/>
      <c r="HW25" s="124"/>
      <c r="HX25" s="124"/>
      <c r="HY25" s="124"/>
      <c r="HZ25" s="124"/>
      <c r="IA25" s="124"/>
      <c r="IB25" s="124"/>
      <c r="IC25" s="124"/>
      <c r="ID25" s="124"/>
      <c r="IE25" s="124"/>
      <c r="IF25" s="124"/>
      <c r="IG25" s="124"/>
      <c r="IH25" s="124"/>
      <c r="II25" s="124"/>
      <c r="IJ25" s="124"/>
      <c r="IK25" s="124"/>
      <c r="IL25" s="124"/>
      <c r="IM25" s="124"/>
      <c r="IN25" s="124"/>
      <c r="IO25" s="124"/>
      <c r="IP25" s="124"/>
      <c r="IQ25" s="124"/>
      <c r="IR25" s="124"/>
      <c r="IS25" s="124"/>
      <c r="IT25" s="124"/>
      <c r="IU25" s="124"/>
      <c r="IV25" s="124"/>
      <c r="IW25" s="124"/>
      <c r="IX25" s="124"/>
      <c r="IY25" s="124"/>
    </row>
    <row r="26" s="235" customFormat="true" ht="18" hidden="false" customHeight="true" outlineLevel="0" collapsed="false">
      <c r="B26" s="228" t="s">
        <v>22</v>
      </c>
      <c r="C26" s="228" t="s">
        <v>22</v>
      </c>
      <c r="D26" s="229" t="s">
        <v>137</v>
      </c>
      <c r="E26" s="233" t="s">
        <v>284</v>
      </c>
      <c r="F26" s="66" t="n">
        <f aca="false">(19*2)/60</f>
        <v>0.633333333333333</v>
      </c>
      <c r="G26" s="231" t="n">
        <v>0.02</v>
      </c>
      <c r="H26" s="231" t="n">
        <f aca="false">HLOOKUP(G26,BDI!$D$19:$J$30,12,)</f>
        <v>0.2223</v>
      </c>
      <c r="I26" s="232" t="n">
        <v>1988.85</v>
      </c>
      <c r="J26" s="232" t="n">
        <v>501.54</v>
      </c>
      <c r="K26" s="232" t="n">
        <v>706.74</v>
      </c>
      <c r="L26" s="232" t="n">
        <v>780.57</v>
      </c>
      <c r="M26" s="232" t="s">
        <v>260</v>
      </c>
      <c r="N26" s="232" t="s">
        <v>262</v>
      </c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</row>
    <row r="27" customFormat="false" ht="18" hidden="false" customHeight="true" outlineLevel="0" collapsed="false">
      <c r="B27" s="228" t="s">
        <v>22</v>
      </c>
      <c r="C27" s="228" t="s">
        <v>22</v>
      </c>
      <c r="D27" s="229" t="s">
        <v>146</v>
      </c>
      <c r="E27" s="230" t="s">
        <v>285</v>
      </c>
      <c r="F27" s="66" t="n">
        <f aca="false">(36*2)/60</f>
        <v>1.2</v>
      </c>
      <c r="G27" s="231" t="n">
        <v>0.03</v>
      </c>
      <c r="H27" s="231" t="n">
        <f aca="false">HLOOKUP(G27,BDI!$D$19:$J$30,12,)</f>
        <v>0.2354</v>
      </c>
      <c r="I27" s="232" t="n">
        <v>1953.81</v>
      </c>
      <c r="J27" s="232" t="n">
        <v>838.95</v>
      </c>
      <c r="K27" s="232" t="n">
        <v>565.28</v>
      </c>
      <c r="L27" s="232" t="n">
        <v>549.58</v>
      </c>
      <c r="M27" s="232" t="s">
        <v>260</v>
      </c>
      <c r="N27" s="232" t="s">
        <v>262</v>
      </c>
    </row>
    <row r="28" customFormat="false" ht="18" hidden="false" customHeight="true" outlineLevel="0" collapsed="false">
      <c r="B28" s="228" t="s">
        <v>22</v>
      </c>
      <c r="C28" s="228" t="s">
        <v>22</v>
      </c>
      <c r="D28" s="229" t="s">
        <v>151</v>
      </c>
      <c r="E28" s="230" t="s">
        <v>286</v>
      </c>
      <c r="F28" s="66" t="n">
        <f aca="false">(82*2)/60</f>
        <v>2.73333333333333</v>
      </c>
      <c r="G28" s="231" t="n">
        <v>0.02</v>
      </c>
      <c r="H28" s="231" t="n">
        <f aca="false">HLOOKUP(G28,BDI!$D$19:$J$30,12,)</f>
        <v>0.2223</v>
      </c>
      <c r="I28" s="232" t="n">
        <v>914.18</v>
      </c>
      <c r="J28" s="232" t="n">
        <v>423.72</v>
      </c>
      <c r="K28" s="232" t="n">
        <v>63.03</v>
      </c>
      <c r="L28" s="232" t="n">
        <v>427.43</v>
      </c>
      <c r="M28" s="232" t="s">
        <v>260</v>
      </c>
      <c r="N28" s="232" t="s">
        <v>262</v>
      </c>
    </row>
    <row r="29" customFormat="false" ht="18" hidden="false" customHeight="true" outlineLevel="0" collapsed="false">
      <c r="B29" s="228" t="s">
        <v>22</v>
      </c>
      <c r="C29" s="228" t="s">
        <v>22</v>
      </c>
      <c r="D29" s="229" t="s">
        <v>145</v>
      </c>
      <c r="E29" s="233" t="s">
        <v>287</v>
      </c>
      <c r="F29" s="66" t="n">
        <f aca="false">(90*2)/60</f>
        <v>3</v>
      </c>
      <c r="G29" s="231" t="n">
        <v>0.03</v>
      </c>
      <c r="H29" s="231" t="n">
        <f aca="false">HLOOKUP(G29,BDI!$D$19:$J$30,12,)</f>
        <v>0.2354</v>
      </c>
      <c r="I29" s="232" t="n">
        <v>334.4</v>
      </c>
      <c r="J29" s="232" t="n">
        <v>296</v>
      </c>
      <c r="K29" s="232" t="n">
        <v>38.4</v>
      </c>
      <c r="L29" s="232" t="n">
        <v>0</v>
      </c>
      <c r="M29" s="232" t="s">
        <v>260</v>
      </c>
      <c r="N29" s="232" t="s">
        <v>260</v>
      </c>
    </row>
    <row r="30" customFormat="false" ht="18" hidden="false" customHeight="true" outlineLevel="0" collapsed="false">
      <c r="A30" s="235"/>
      <c r="B30" s="236" t="s">
        <v>22</v>
      </c>
      <c r="C30" s="236" t="s">
        <v>22</v>
      </c>
      <c r="D30" s="237" t="s">
        <v>135</v>
      </c>
      <c r="E30" s="230" t="s">
        <v>288</v>
      </c>
      <c r="F30" s="238" t="n">
        <f aca="false">(57*2)/60</f>
        <v>1.9</v>
      </c>
      <c r="G30" s="231" t="n">
        <v>0.02</v>
      </c>
      <c r="H30" s="231" t="n">
        <f aca="false">HLOOKUP(G30,BDI!$D$19:$J$30,12,)</f>
        <v>0.2223</v>
      </c>
      <c r="I30" s="239" t="n">
        <v>334.4</v>
      </c>
      <c r="J30" s="239" t="n">
        <v>0</v>
      </c>
      <c r="K30" s="239" t="n">
        <v>0</v>
      </c>
      <c r="L30" s="239" t="n">
        <v>334.4</v>
      </c>
      <c r="M30" s="239" t="s">
        <v>260</v>
      </c>
      <c r="N30" s="239" t="s">
        <v>260</v>
      </c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/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4"/>
      <c r="DS30" s="124"/>
      <c r="DT30" s="124"/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/>
      <c r="EW30" s="124"/>
      <c r="EX30" s="124"/>
      <c r="EY30" s="124"/>
      <c r="EZ30" s="124"/>
      <c r="FA30" s="124"/>
      <c r="FB30" s="124"/>
      <c r="FC30" s="124"/>
      <c r="FD30" s="124"/>
      <c r="FE30" s="124"/>
      <c r="FF30" s="124"/>
      <c r="FG30" s="124"/>
      <c r="FH30" s="124"/>
      <c r="FI30" s="124"/>
      <c r="FJ30" s="124"/>
      <c r="FK30" s="124"/>
      <c r="FL30" s="124"/>
      <c r="FM30" s="124"/>
      <c r="FN30" s="124"/>
      <c r="FO30" s="124"/>
      <c r="FP30" s="124"/>
      <c r="FQ30" s="124"/>
      <c r="FR30" s="124"/>
      <c r="FS30" s="124"/>
      <c r="FT30" s="124"/>
      <c r="FU30" s="124"/>
      <c r="FV30" s="124"/>
      <c r="FW30" s="124"/>
      <c r="FX30" s="124"/>
      <c r="FY30" s="124"/>
      <c r="FZ30" s="124"/>
      <c r="GA30" s="124"/>
      <c r="GB30" s="124"/>
      <c r="GC30" s="124"/>
      <c r="GD30" s="124"/>
      <c r="GE30" s="124"/>
      <c r="GF30" s="124"/>
      <c r="GG30" s="124"/>
      <c r="GH30" s="124"/>
      <c r="GI30" s="124"/>
      <c r="GJ30" s="124"/>
      <c r="GK30" s="124"/>
      <c r="GL30" s="124"/>
      <c r="GM30" s="124"/>
      <c r="GN30" s="124"/>
      <c r="GO30" s="124"/>
      <c r="GP30" s="124"/>
      <c r="GQ30" s="124"/>
      <c r="GR30" s="124"/>
      <c r="GS30" s="124"/>
      <c r="GT30" s="124"/>
      <c r="GU30" s="124"/>
      <c r="GV30" s="124"/>
      <c r="GW30" s="124"/>
      <c r="GX30" s="124"/>
      <c r="GY30" s="124"/>
      <c r="GZ30" s="124"/>
      <c r="HA30" s="124"/>
      <c r="HB30" s="124"/>
      <c r="HC30" s="124"/>
      <c r="HD30" s="124"/>
      <c r="HE30" s="124"/>
      <c r="HF30" s="124"/>
      <c r="HG30" s="124"/>
      <c r="HH30" s="124"/>
      <c r="HI30" s="124"/>
      <c r="HJ30" s="124"/>
      <c r="HK30" s="124"/>
      <c r="HL30" s="124"/>
      <c r="HM30" s="124"/>
      <c r="HN30" s="124"/>
      <c r="HO30" s="124"/>
      <c r="HP30" s="124"/>
      <c r="HQ30" s="124"/>
      <c r="HR30" s="124"/>
      <c r="HS30" s="124"/>
      <c r="HT30" s="124"/>
      <c r="HU30" s="124"/>
      <c r="HV30" s="124"/>
      <c r="HW30" s="124"/>
      <c r="HX30" s="124"/>
      <c r="HY30" s="124"/>
      <c r="HZ30" s="124"/>
      <c r="IA30" s="124"/>
      <c r="IB30" s="124"/>
      <c r="IC30" s="124"/>
      <c r="ID30" s="124"/>
      <c r="IE30" s="124"/>
      <c r="IF30" s="124"/>
      <c r="IG30" s="124"/>
      <c r="IH30" s="124"/>
      <c r="II30" s="124"/>
      <c r="IJ30" s="124"/>
      <c r="IK30" s="124"/>
      <c r="IL30" s="124"/>
      <c r="IM30" s="124"/>
      <c r="IN30" s="124"/>
      <c r="IO30" s="124"/>
      <c r="IP30" s="124"/>
      <c r="IQ30" s="124"/>
      <c r="IR30" s="124"/>
      <c r="IS30" s="124"/>
      <c r="IT30" s="124"/>
      <c r="IU30" s="124"/>
      <c r="IV30" s="124"/>
      <c r="IW30" s="124"/>
      <c r="IX30" s="124"/>
      <c r="IY30" s="124"/>
      <c r="IZ30" s="235"/>
      <c r="JA30" s="235"/>
      <c r="JB30" s="235"/>
      <c r="JC30" s="235"/>
      <c r="JD30" s="235"/>
      <c r="JE30" s="235"/>
      <c r="JF30" s="235"/>
      <c r="JG30" s="235"/>
      <c r="JH30" s="235"/>
      <c r="JI30" s="235"/>
      <c r="JJ30" s="235"/>
      <c r="JK30" s="235"/>
      <c r="JL30" s="235"/>
      <c r="JM30" s="235"/>
      <c r="JN30" s="235"/>
      <c r="JO30" s="235"/>
      <c r="JP30" s="235"/>
      <c r="JQ30" s="235"/>
      <c r="JR30" s="235"/>
      <c r="JS30" s="235"/>
      <c r="JT30" s="235"/>
      <c r="JU30" s="235"/>
      <c r="JV30" s="235"/>
      <c r="JW30" s="235"/>
      <c r="JX30" s="235"/>
      <c r="JY30" s="235"/>
      <c r="JZ30" s="235"/>
      <c r="KA30" s="235"/>
      <c r="KB30" s="235"/>
      <c r="KC30" s="235"/>
      <c r="KD30" s="235"/>
      <c r="KE30" s="235"/>
      <c r="KF30" s="235"/>
      <c r="KG30" s="235"/>
      <c r="KH30" s="235"/>
      <c r="KI30" s="235"/>
      <c r="KJ30" s="235"/>
      <c r="KK30" s="235"/>
      <c r="KL30" s="235"/>
      <c r="KM30" s="235"/>
      <c r="KN30" s="235"/>
      <c r="KO30" s="235"/>
      <c r="KP30" s="235"/>
      <c r="KQ30" s="235"/>
      <c r="KR30" s="235"/>
      <c r="KS30" s="235"/>
      <c r="KT30" s="235"/>
      <c r="KU30" s="235"/>
      <c r="KV30" s="235"/>
      <c r="KW30" s="235"/>
      <c r="KX30" s="235"/>
      <c r="KY30" s="235"/>
      <c r="KZ30" s="235"/>
      <c r="LA30" s="235"/>
      <c r="LB30" s="235"/>
      <c r="LC30" s="235"/>
      <c r="LD30" s="235"/>
      <c r="LE30" s="235"/>
      <c r="LF30" s="235"/>
      <c r="LG30" s="235"/>
      <c r="LH30" s="235"/>
      <c r="LI30" s="235"/>
      <c r="LJ30" s="235"/>
      <c r="LK30" s="235"/>
      <c r="LL30" s="235"/>
      <c r="LM30" s="235"/>
      <c r="LN30" s="235"/>
      <c r="LO30" s="235"/>
      <c r="LP30" s="235"/>
      <c r="LQ30" s="235"/>
      <c r="LR30" s="235"/>
      <c r="LS30" s="235"/>
      <c r="LT30" s="235"/>
      <c r="LU30" s="235"/>
      <c r="LV30" s="235"/>
      <c r="LW30" s="235"/>
      <c r="LX30" s="235"/>
      <c r="LY30" s="235"/>
      <c r="LZ30" s="235"/>
      <c r="MA30" s="235"/>
      <c r="MB30" s="235"/>
      <c r="MC30" s="235"/>
      <c r="MD30" s="235"/>
      <c r="ME30" s="235"/>
      <c r="MF30" s="235"/>
      <c r="MG30" s="235"/>
      <c r="MH30" s="235"/>
      <c r="MI30" s="235"/>
      <c r="MJ30" s="235"/>
      <c r="MK30" s="235"/>
      <c r="ML30" s="235"/>
      <c r="MM30" s="235"/>
      <c r="MN30" s="235"/>
      <c r="MO30" s="235"/>
      <c r="MP30" s="235"/>
      <c r="MQ30" s="235"/>
      <c r="MR30" s="235"/>
      <c r="MS30" s="235"/>
      <c r="MT30" s="235"/>
      <c r="MU30" s="235"/>
      <c r="MV30" s="235"/>
      <c r="MW30" s="235"/>
      <c r="MX30" s="235"/>
      <c r="MY30" s="235"/>
      <c r="MZ30" s="235"/>
      <c r="NA30" s="235"/>
      <c r="NB30" s="235"/>
      <c r="NC30" s="235"/>
      <c r="ND30" s="235"/>
      <c r="NE30" s="235"/>
      <c r="NF30" s="235"/>
      <c r="NG30" s="235"/>
      <c r="NH30" s="235"/>
      <c r="NI30" s="235"/>
      <c r="NJ30" s="235"/>
      <c r="NK30" s="235"/>
      <c r="NL30" s="235"/>
      <c r="NM30" s="235"/>
      <c r="NN30" s="235"/>
      <c r="NO30" s="235"/>
      <c r="NP30" s="235"/>
      <c r="NQ30" s="235"/>
      <c r="NR30" s="235"/>
      <c r="NS30" s="235"/>
      <c r="NT30" s="235"/>
      <c r="NU30" s="235"/>
      <c r="NV30" s="235"/>
      <c r="NW30" s="235"/>
      <c r="NX30" s="235"/>
      <c r="NY30" s="235"/>
      <c r="NZ30" s="235"/>
      <c r="OA30" s="235"/>
      <c r="OB30" s="235"/>
      <c r="OC30" s="235"/>
      <c r="OD30" s="235"/>
      <c r="OE30" s="235"/>
      <c r="OF30" s="235"/>
      <c r="OG30" s="235"/>
      <c r="OH30" s="235"/>
      <c r="OI30" s="235"/>
      <c r="OJ30" s="235"/>
      <c r="OK30" s="235"/>
      <c r="OL30" s="235"/>
      <c r="OM30" s="235"/>
      <c r="ON30" s="235"/>
      <c r="OO30" s="235"/>
      <c r="OP30" s="235"/>
      <c r="OQ30" s="235"/>
      <c r="OR30" s="235"/>
      <c r="OS30" s="235"/>
      <c r="OT30" s="235"/>
      <c r="OU30" s="235"/>
      <c r="OV30" s="235"/>
      <c r="OW30" s="235"/>
      <c r="OX30" s="235"/>
      <c r="OY30" s="235"/>
      <c r="OZ30" s="235"/>
      <c r="PA30" s="235"/>
      <c r="PB30" s="235"/>
      <c r="PC30" s="235"/>
      <c r="PD30" s="235"/>
      <c r="PE30" s="235"/>
      <c r="PF30" s="235"/>
      <c r="PG30" s="235"/>
      <c r="PH30" s="235"/>
      <c r="PI30" s="235"/>
      <c r="PJ30" s="235"/>
      <c r="PK30" s="235"/>
      <c r="PL30" s="235"/>
      <c r="PM30" s="235"/>
      <c r="PN30" s="235"/>
      <c r="PO30" s="235"/>
      <c r="PP30" s="235"/>
      <c r="PQ30" s="235"/>
      <c r="PR30" s="235"/>
      <c r="PS30" s="235"/>
      <c r="PT30" s="235"/>
      <c r="PU30" s="235"/>
      <c r="PV30" s="235"/>
      <c r="PW30" s="235"/>
      <c r="PX30" s="235"/>
      <c r="PY30" s="235"/>
      <c r="PZ30" s="235"/>
      <c r="QA30" s="235"/>
      <c r="QB30" s="235"/>
      <c r="QC30" s="235"/>
      <c r="QD30" s="235"/>
      <c r="QE30" s="235"/>
      <c r="QF30" s="235"/>
      <c r="QG30" s="235"/>
      <c r="QH30" s="235"/>
      <c r="QI30" s="235"/>
      <c r="QJ30" s="235"/>
      <c r="QK30" s="235"/>
      <c r="QL30" s="235"/>
      <c r="QM30" s="235"/>
      <c r="QN30" s="235"/>
      <c r="QO30" s="235"/>
      <c r="QP30" s="235"/>
      <c r="QQ30" s="235"/>
      <c r="QR30" s="235"/>
      <c r="QS30" s="235"/>
      <c r="QT30" s="235"/>
      <c r="QU30" s="235"/>
      <c r="QV30" s="235"/>
      <c r="QW30" s="235"/>
      <c r="QX30" s="235"/>
      <c r="QY30" s="235"/>
      <c r="QZ30" s="235"/>
      <c r="RA30" s="235"/>
      <c r="RB30" s="235"/>
      <c r="RC30" s="235"/>
      <c r="RD30" s="235"/>
      <c r="RE30" s="235"/>
      <c r="RF30" s="235"/>
      <c r="RG30" s="235"/>
      <c r="RH30" s="235"/>
      <c r="RI30" s="235"/>
      <c r="RJ30" s="235"/>
      <c r="RK30" s="235"/>
      <c r="RL30" s="235"/>
      <c r="RM30" s="235"/>
      <c r="RN30" s="235"/>
      <c r="RO30" s="235"/>
      <c r="RP30" s="235"/>
      <c r="RQ30" s="235"/>
      <c r="RR30" s="235"/>
      <c r="RS30" s="235"/>
      <c r="RT30" s="235"/>
      <c r="RU30" s="235"/>
      <c r="RV30" s="235"/>
      <c r="RW30" s="235"/>
      <c r="RX30" s="235"/>
      <c r="RY30" s="235"/>
      <c r="RZ30" s="235"/>
      <c r="SA30" s="235"/>
      <c r="SB30" s="235"/>
      <c r="SC30" s="235"/>
      <c r="SD30" s="235"/>
      <c r="SE30" s="235"/>
      <c r="SF30" s="235"/>
      <c r="SG30" s="235"/>
      <c r="SH30" s="235"/>
      <c r="SI30" s="235"/>
      <c r="SJ30" s="235"/>
      <c r="SK30" s="235"/>
      <c r="SL30" s="235"/>
      <c r="SM30" s="235"/>
      <c r="SN30" s="235"/>
      <c r="SO30" s="235"/>
      <c r="SP30" s="235"/>
      <c r="SQ30" s="235"/>
      <c r="SR30" s="235"/>
      <c r="SS30" s="235"/>
      <c r="ST30" s="235"/>
      <c r="SU30" s="235"/>
      <c r="SV30" s="235"/>
      <c r="SW30" s="235"/>
      <c r="SX30" s="235"/>
      <c r="SY30" s="235"/>
      <c r="SZ30" s="235"/>
      <c r="TA30" s="235"/>
      <c r="TB30" s="235"/>
      <c r="TC30" s="235"/>
      <c r="TD30" s="235"/>
      <c r="TE30" s="235"/>
      <c r="TF30" s="235"/>
      <c r="TG30" s="235"/>
      <c r="TH30" s="235"/>
      <c r="TI30" s="235"/>
      <c r="TJ30" s="235"/>
      <c r="TK30" s="235"/>
      <c r="TL30" s="235"/>
      <c r="TM30" s="235"/>
      <c r="TN30" s="235"/>
      <c r="TO30" s="235"/>
      <c r="TP30" s="235"/>
      <c r="TQ30" s="235"/>
      <c r="TR30" s="235"/>
      <c r="TS30" s="235"/>
      <c r="TT30" s="235"/>
      <c r="TU30" s="235"/>
      <c r="TV30" s="235"/>
      <c r="TW30" s="235"/>
      <c r="TX30" s="235"/>
      <c r="TY30" s="235"/>
      <c r="TZ30" s="235"/>
      <c r="UA30" s="235"/>
      <c r="UB30" s="235"/>
      <c r="UC30" s="235"/>
      <c r="UD30" s="235"/>
      <c r="UE30" s="235"/>
      <c r="UF30" s="235"/>
      <c r="UG30" s="235"/>
      <c r="UH30" s="235"/>
      <c r="UI30" s="235"/>
      <c r="UJ30" s="235"/>
      <c r="UK30" s="235"/>
      <c r="UL30" s="235"/>
      <c r="UM30" s="235"/>
      <c r="UN30" s="235"/>
      <c r="UO30" s="235"/>
      <c r="UP30" s="235"/>
      <c r="UQ30" s="235"/>
      <c r="UR30" s="235"/>
      <c r="US30" s="235"/>
      <c r="UT30" s="235"/>
      <c r="UU30" s="235"/>
      <c r="UV30" s="235"/>
      <c r="UW30" s="235"/>
      <c r="UX30" s="235"/>
      <c r="UY30" s="235"/>
      <c r="UZ30" s="235"/>
      <c r="VA30" s="235"/>
      <c r="VB30" s="235"/>
      <c r="VC30" s="235"/>
      <c r="VD30" s="235"/>
      <c r="VE30" s="235"/>
      <c r="VF30" s="235"/>
      <c r="VG30" s="235"/>
      <c r="VH30" s="235"/>
      <c r="VI30" s="235"/>
      <c r="VJ30" s="235"/>
      <c r="VK30" s="235"/>
      <c r="VL30" s="235"/>
      <c r="VM30" s="235"/>
      <c r="VN30" s="235"/>
      <c r="VO30" s="235"/>
      <c r="VP30" s="235"/>
      <c r="VQ30" s="235"/>
      <c r="VR30" s="235"/>
      <c r="VS30" s="235"/>
      <c r="VT30" s="235"/>
      <c r="VU30" s="235"/>
      <c r="VV30" s="235"/>
      <c r="VW30" s="235"/>
      <c r="VX30" s="235"/>
      <c r="VY30" s="235"/>
      <c r="VZ30" s="235"/>
      <c r="WA30" s="235"/>
      <c r="WB30" s="235"/>
      <c r="WC30" s="235"/>
      <c r="WD30" s="235"/>
      <c r="WE30" s="235"/>
      <c r="WF30" s="235"/>
      <c r="WG30" s="235"/>
      <c r="WH30" s="235"/>
      <c r="WI30" s="235"/>
      <c r="WJ30" s="235"/>
      <c r="WK30" s="235"/>
      <c r="WL30" s="235"/>
      <c r="WM30" s="235"/>
      <c r="WN30" s="235"/>
      <c r="WO30" s="235"/>
      <c r="WP30" s="235"/>
      <c r="WQ30" s="235"/>
      <c r="WR30" s="235"/>
      <c r="WS30" s="235"/>
      <c r="WT30" s="235"/>
      <c r="WU30" s="235"/>
      <c r="WV30" s="235"/>
      <c r="WW30" s="235"/>
      <c r="WX30" s="235"/>
      <c r="WY30" s="235"/>
      <c r="WZ30" s="235"/>
      <c r="XA30" s="235"/>
      <c r="XB30" s="235"/>
      <c r="XC30" s="235"/>
      <c r="XD30" s="235"/>
      <c r="XE30" s="235"/>
      <c r="XF30" s="235"/>
      <c r="XG30" s="235"/>
      <c r="XH30" s="235"/>
      <c r="XI30" s="235"/>
      <c r="XJ30" s="235"/>
      <c r="XK30" s="235"/>
      <c r="XL30" s="235"/>
      <c r="XM30" s="235"/>
      <c r="XN30" s="235"/>
      <c r="XO30" s="235"/>
      <c r="XP30" s="235"/>
      <c r="XQ30" s="235"/>
      <c r="XR30" s="235"/>
      <c r="XS30" s="235"/>
      <c r="XT30" s="235"/>
      <c r="XU30" s="235"/>
      <c r="XV30" s="235"/>
      <c r="XW30" s="235"/>
      <c r="XX30" s="235"/>
      <c r="XY30" s="235"/>
      <c r="XZ30" s="235"/>
      <c r="YA30" s="235"/>
      <c r="YB30" s="235"/>
      <c r="YC30" s="235"/>
      <c r="YD30" s="235"/>
      <c r="YE30" s="235"/>
      <c r="YF30" s="235"/>
      <c r="YG30" s="235"/>
      <c r="YH30" s="235"/>
      <c r="YI30" s="235"/>
      <c r="YJ30" s="235"/>
      <c r="YK30" s="235"/>
      <c r="YL30" s="235"/>
      <c r="YM30" s="235"/>
      <c r="YN30" s="235"/>
      <c r="YO30" s="235"/>
      <c r="YP30" s="235"/>
      <c r="YQ30" s="235"/>
      <c r="YR30" s="235"/>
      <c r="YS30" s="235"/>
      <c r="YT30" s="235"/>
      <c r="YU30" s="235"/>
      <c r="YV30" s="235"/>
      <c r="YW30" s="235"/>
      <c r="YX30" s="235"/>
      <c r="YY30" s="235"/>
      <c r="YZ30" s="235"/>
      <c r="ZA30" s="235"/>
      <c r="ZB30" s="235"/>
      <c r="ZC30" s="235"/>
      <c r="ZD30" s="235"/>
      <c r="ZE30" s="235"/>
      <c r="ZF30" s="235"/>
      <c r="ZG30" s="235"/>
      <c r="ZH30" s="235"/>
      <c r="ZI30" s="235"/>
      <c r="ZJ30" s="235"/>
      <c r="ZK30" s="235"/>
      <c r="ZL30" s="235"/>
      <c r="ZM30" s="235"/>
      <c r="ZN30" s="235"/>
      <c r="ZO30" s="235"/>
      <c r="ZP30" s="235"/>
      <c r="ZQ30" s="235"/>
      <c r="ZR30" s="235"/>
      <c r="ZS30" s="235"/>
      <c r="ZT30" s="235"/>
      <c r="ZU30" s="235"/>
      <c r="ZV30" s="235"/>
      <c r="ZW30" s="235"/>
      <c r="ZX30" s="235"/>
      <c r="ZY30" s="235"/>
      <c r="ZZ30" s="235"/>
      <c r="AAA30" s="235"/>
      <c r="AAB30" s="235"/>
      <c r="AAC30" s="235"/>
      <c r="AAD30" s="235"/>
      <c r="AAE30" s="235"/>
      <c r="AAF30" s="235"/>
      <c r="AAG30" s="235"/>
      <c r="AAH30" s="235"/>
      <c r="AAI30" s="235"/>
      <c r="AAJ30" s="235"/>
      <c r="AAK30" s="235"/>
      <c r="AAL30" s="235"/>
      <c r="AAM30" s="235"/>
      <c r="AAN30" s="235"/>
      <c r="AAO30" s="235"/>
      <c r="AAP30" s="235"/>
      <c r="AAQ30" s="235"/>
      <c r="AAR30" s="235"/>
      <c r="AAS30" s="235"/>
      <c r="AAT30" s="235"/>
      <c r="AAU30" s="235"/>
      <c r="AAV30" s="235"/>
      <c r="AAW30" s="235"/>
      <c r="AAX30" s="235"/>
      <c r="AAY30" s="235"/>
      <c r="AAZ30" s="235"/>
      <c r="ABA30" s="235"/>
      <c r="ABB30" s="235"/>
      <c r="ABC30" s="235"/>
      <c r="ABD30" s="235"/>
      <c r="ABE30" s="235"/>
      <c r="ABF30" s="235"/>
      <c r="ABG30" s="235"/>
      <c r="ABH30" s="235"/>
      <c r="ABI30" s="235"/>
      <c r="ABJ30" s="235"/>
      <c r="ABK30" s="235"/>
      <c r="ABL30" s="235"/>
      <c r="ABM30" s="235"/>
      <c r="ABN30" s="235"/>
      <c r="ABO30" s="235"/>
      <c r="ABP30" s="235"/>
      <c r="ABQ30" s="235"/>
      <c r="ABR30" s="235"/>
      <c r="ABS30" s="235"/>
      <c r="ABT30" s="235"/>
      <c r="ABU30" s="235"/>
      <c r="ABV30" s="235"/>
      <c r="ABW30" s="235"/>
      <c r="ABX30" s="235"/>
      <c r="ABY30" s="235"/>
      <c r="ABZ30" s="235"/>
      <c r="ACA30" s="235"/>
      <c r="ACB30" s="235"/>
      <c r="ACC30" s="235"/>
      <c r="ACD30" s="235"/>
      <c r="ACE30" s="235"/>
      <c r="ACF30" s="235"/>
      <c r="ACG30" s="235"/>
      <c r="ACH30" s="235"/>
      <c r="ACI30" s="235"/>
      <c r="ACJ30" s="235"/>
      <c r="ACK30" s="235"/>
      <c r="ACL30" s="235"/>
      <c r="ACM30" s="235"/>
      <c r="ACN30" s="235"/>
      <c r="ACO30" s="235"/>
      <c r="ACP30" s="235"/>
      <c r="ACQ30" s="235"/>
      <c r="ACR30" s="235"/>
      <c r="ACS30" s="235"/>
      <c r="ACT30" s="235"/>
      <c r="ACU30" s="235"/>
      <c r="ACV30" s="235"/>
      <c r="ACW30" s="235"/>
      <c r="ACX30" s="235"/>
      <c r="ACY30" s="235"/>
      <c r="ACZ30" s="235"/>
      <c r="ADA30" s="235"/>
      <c r="ADB30" s="235"/>
      <c r="ADC30" s="235"/>
      <c r="ADD30" s="235"/>
      <c r="ADE30" s="235"/>
      <c r="ADF30" s="235"/>
      <c r="ADG30" s="235"/>
      <c r="ADH30" s="235"/>
      <c r="ADI30" s="235"/>
      <c r="ADJ30" s="235"/>
      <c r="ADK30" s="235"/>
      <c r="ADL30" s="235"/>
      <c r="ADM30" s="235"/>
      <c r="ADN30" s="235"/>
      <c r="ADO30" s="235"/>
      <c r="ADP30" s="235"/>
      <c r="ADQ30" s="235"/>
      <c r="ADR30" s="235"/>
      <c r="ADS30" s="235"/>
      <c r="ADT30" s="235"/>
      <c r="ADU30" s="235"/>
      <c r="ADV30" s="235"/>
      <c r="ADW30" s="235"/>
      <c r="ADX30" s="235"/>
      <c r="ADY30" s="235"/>
      <c r="ADZ30" s="235"/>
      <c r="AEA30" s="235"/>
      <c r="AEB30" s="235"/>
      <c r="AEC30" s="235"/>
      <c r="AED30" s="235"/>
      <c r="AEE30" s="235"/>
      <c r="AEF30" s="235"/>
      <c r="AEG30" s="235"/>
      <c r="AEH30" s="235"/>
      <c r="AEI30" s="235"/>
      <c r="AEJ30" s="235"/>
      <c r="AEK30" s="235"/>
      <c r="AEL30" s="235"/>
      <c r="AEM30" s="235"/>
      <c r="AEN30" s="235"/>
      <c r="AEO30" s="235"/>
      <c r="AEP30" s="235"/>
      <c r="AEQ30" s="235"/>
      <c r="AER30" s="235"/>
      <c r="AES30" s="235"/>
      <c r="AET30" s="235"/>
      <c r="AEU30" s="235"/>
      <c r="AEV30" s="235"/>
      <c r="AEW30" s="235"/>
      <c r="AEX30" s="235"/>
      <c r="AEY30" s="235"/>
      <c r="AEZ30" s="235"/>
      <c r="AFA30" s="235"/>
      <c r="AFB30" s="235"/>
      <c r="AFC30" s="235"/>
      <c r="AFD30" s="235"/>
      <c r="AFE30" s="235"/>
      <c r="AFF30" s="235"/>
      <c r="AFG30" s="235"/>
      <c r="AFH30" s="235"/>
      <c r="AFI30" s="235"/>
      <c r="AFJ30" s="235"/>
      <c r="AFK30" s="235"/>
      <c r="AFL30" s="235"/>
      <c r="AFM30" s="235"/>
      <c r="AFN30" s="235"/>
      <c r="AFO30" s="235"/>
      <c r="AFP30" s="235"/>
      <c r="AFQ30" s="235"/>
      <c r="AFR30" s="235"/>
      <c r="AFS30" s="235"/>
      <c r="AFT30" s="235"/>
      <c r="AFU30" s="235"/>
      <c r="AFV30" s="235"/>
      <c r="AFW30" s="235"/>
      <c r="AFX30" s="235"/>
      <c r="AFY30" s="235"/>
      <c r="AFZ30" s="235"/>
      <c r="AGA30" s="235"/>
      <c r="AGB30" s="235"/>
      <c r="AGC30" s="235"/>
      <c r="AGD30" s="235"/>
      <c r="AGE30" s="235"/>
      <c r="AGF30" s="235"/>
      <c r="AGG30" s="235"/>
      <c r="AGH30" s="235"/>
      <c r="AGI30" s="235"/>
      <c r="AGJ30" s="235"/>
      <c r="AGK30" s="235"/>
      <c r="AGL30" s="235"/>
      <c r="AGM30" s="235"/>
      <c r="AGN30" s="235"/>
      <c r="AGO30" s="235"/>
      <c r="AGP30" s="235"/>
      <c r="AGQ30" s="235"/>
      <c r="AGR30" s="235"/>
      <c r="AGS30" s="235"/>
      <c r="AGT30" s="235"/>
      <c r="AGU30" s="235"/>
      <c r="AGV30" s="235"/>
      <c r="AGW30" s="235"/>
      <c r="AGX30" s="235"/>
      <c r="AGY30" s="235"/>
      <c r="AGZ30" s="235"/>
      <c r="AHA30" s="235"/>
      <c r="AHB30" s="235"/>
      <c r="AHC30" s="235"/>
      <c r="AHD30" s="235"/>
      <c r="AHE30" s="235"/>
      <c r="AHF30" s="235"/>
      <c r="AHG30" s="235"/>
      <c r="AHH30" s="235"/>
      <c r="AHI30" s="235"/>
      <c r="AHJ30" s="235"/>
      <c r="AHK30" s="235"/>
      <c r="AHL30" s="235"/>
      <c r="AHM30" s="235"/>
      <c r="AHN30" s="235"/>
      <c r="AHO30" s="235"/>
      <c r="AHP30" s="235"/>
      <c r="AHQ30" s="235"/>
      <c r="AHR30" s="235"/>
      <c r="AHS30" s="235"/>
      <c r="AHT30" s="235"/>
      <c r="AHU30" s="235"/>
      <c r="AHV30" s="235"/>
      <c r="AHW30" s="235"/>
      <c r="AHX30" s="235"/>
      <c r="AHY30" s="235"/>
      <c r="AHZ30" s="235"/>
      <c r="AIA30" s="235"/>
      <c r="AIB30" s="235"/>
      <c r="AIC30" s="235"/>
      <c r="AID30" s="235"/>
      <c r="AIE30" s="235"/>
      <c r="AIF30" s="235"/>
      <c r="AIG30" s="235"/>
      <c r="AIH30" s="235"/>
      <c r="AII30" s="235"/>
      <c r="AIJ30" s="235"/>
      <c r="AIK30" s="235"/>
      <c r="AIL30" s="235"/>
      <c r="AIM30" s="235"/>
      <c r="AIN30" s="235"/>
      <c r="AIO30" s="235"/>
      <c r="AIP30" s="235"/>
      <c r="AIQ30" s="235"/>
      <c r="AIR30" s="235"/>
      <c r="AIS30" s="235"/>
      <c r="AIT30" s="235"/>
      <c r="AIU30" s="235"/>
      <c r="AIV30" s="235"/>
      <c r="AIW30" s="235"/>
      <c r="AIX30" s="235"/>
      <c r="AIY30" s="235"/>
      <c r="AIZ30" s="235"/>
      <c r="AJA30" s="235"/>
      <c r="AJB30" s="235"/>
      <c r="AJC30" s="235"/>
      <c r="AJD30" s="235"/>
      <c r="AJE30" s="235"/>
      <c r="AJF30" s="235"/>
      <c r="AJG30" s="235"/>
      <c r="AJH30" s="235"/>
      <c r="AJI30" s="235"/>
      <c r="AJJ30" s="235"/>
      <c r="AJK30" s="235"/>
      <c r="AJL30" s="235"/>
      <c r="AJM30" s="235"/>
      <c r="AJN30" s="235"/>
      <c r="AJO30" s="235"/>
      <c r="AJP30" s="235"/>
      <c r="AJQ30" s="235"/>
      <c r="AJR30" s="235"/>
      <c r="AJS30" s="235"/>
      <c r="AJT30" s="235"/>
      <c r="AJU30" s="235"/>
      <c r="AJV30" s="235"/>
      <c r="AJW30" s="235"/>
      <c r="AJX30" s="235"/>
      <c r="AJY30" s="235"/>
      <c r="AJZ30" s="235"/>
      <c r="AKA30" s="235"/>
      <c r="AKB30" s="235"/>
      <c r="AKC30" s="235"/>
      <c r="AKD30" s="235"/>
      <c r="AKE30" s="235"/>
      <c r="AKF30" s="235"/>
      <c r="AKG30" s="235"/>
      <c r="AKH30" s="235"/>
      <c r="AKI30" s="235"/>
      <c r="AKJ30" s="235"/>
      <c r="AKK30" s="235"/>
      <c r="AKL30" s="235"/>
      <c r="AKM30" s="235"/>
      <c r="AKN30" s="235"/>
      <c r="AKO30" s="235"/>
      <c r="AKP30" s="235"/>
      <c r="AKQ30" s="235"/>
      <c r="AKR30" s="235"/>
      <c r="AKS30" s="235"/>
      <c r="AKT30" s="235"/>
      <c r="AKU30" s="235"/>
      <c r="AKV30" s="235"/>
      <c r="AKW30" s="235"/>
      <c r="AKX30" s="235"/>
      <c r="AKY30" s="235"/>
      <c r="AKZ30" s="235"/>
      <c r="ALA30" s="235"/>
      <c r="ALB30" s="235"/>
      <c r="ALC30" s="235"/>
      <c r="ALD30" s="235"/>
      <c r="ALE30" s="235"/>
      <c r="ALF30" s="235"/>
      <c r="ALG30" s="235"/>
      <c r="ALH30" s="235"/>
      <c r="ALI30" s="235"/>
      <c r="ALJ30" s="235"/>
      <c r="ALK30" s="235"/>
      <c r="ALL30" s="235"/>
      <c r="ALM30" s="235"/>
      <c r="ALN30" s="235"/>
      <c r="ALO30" s="235"/>
      <c r="ALP30" s="235"/>
      <c r="ALQ30" s="235"/>
      <c r="ALR30" s="235"/>
      <c r="ALS30" s="235"/>
      <c r="ALT30" s="235"/>
      <c r="ALU30" s="235"/>
      <c r="ALV30" s="235"/>
      <c r="ALW30" s="235"/>
      <c r="ALX30" s="235"/>
      <c r="ALY30" s="235"/>
      <c r="ALZ30" s="235"/>
      <c r="AMA30" s="235"/>
      <c r="AMB30" s="235"/>
      <c r="AMC30" s="235"/>
      <c r="AMD30" s="235"/>
      <c r="AME30" s="235"/>
      <c r="AMF30" s="235"/>
      <c r="AMG30" s="235"/>
      <c r="AMH30" s="235"/>
      <c r="AMI30" s="235"/>
      <c r="AMJ30" s="235"/>
    </row>
    <row r="31" customFormat="false" ht="18" hidden="false" customHeight="true" outlineLevel="0" collapsed="false">
      <c r="A31" s="235"/>
      <c r="B31" s="236" t="s">
        <v>22</v>
      </c>
      <c r="C31" s="236" t="s">
        <v>22</v>
      </c>
      <c r="D31" s="237" t="s">
        <v>131</v>
      </c>
      <c r="E31" s="230" t="s">
        <v>289</v>
      </c>
      <c r="F31" s="240" t="n">
        <v>0</v>
      </c>
      <c r="G31" s="231" t="n">
        <v>0.02</v>
      </c>
      <c r="H31" s="231" t="n">
        <f aca="false">HLOOKUP(G31,BDI!$D$19:$J$30,12,)</f>
        <v>0.2223</v>
      </c>
      <c r="I31" s="239" t="n">
        <v>2966.29</v>
      </c>
      <c r="J31" s="239" t="n">
        <v>585.4</v>
      </c>
      <c r="K31" s="239" t="n">
        <v>2380.89</v>
      </c>
      <c r="L31" s="239" t="n">
        <v>0</v>
      </c>
      <c r="M31" s="239" t="s">
        <v>262</v>
      </c>
      <c r="N31" s="239" t="s">
        <v>260</v>
      </c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  <c r="DJ31" s="124"/>
      <c r="DK31" s="124"/>
      <c r="DL31" s="124"/>
      <c r="DM31" s="124"/>
      <c r="DN31" s="124"/>
      <c r="DO31" s="124"/>
      <c r="DP31" s="124"/>
      <c r="DQ31" s="124"/>
      <c r="DR31" s="124"/>
      <c r="DS31" s="124"/>
      <c r="DT31" s="124"/>
      <c r="DU31" s="124"/>
      <c r="DV31" s="124"/>
      <c r="DW31" s="124"/>
      <c r="DX31" s="124"/>
      <c r="DY31" s="124"/>
      <c r="DZ31" s="124"/>
      <c r="EA31" s="124"/>
      <c r="EB31" s="124"/>
      <c r="EC31" s="124"/>
      <c r="ED31" s="124"/>
      <c r="EE31" s="124"/>
      <c r="EF31" s="124"/>
      <c r="EG31" s="124"/>
      <c r="EH31" s="124"/>
      <c r="EI31" s="124"/>
      <c r="EJ31" s="124"/>
      <c r="EK31" s="124"/>
      <c r="EL31" s="124"/>
      <c r="EM31" s="124"/>
      <c r="EN31" s="124"/>
      <c r="EO31" s="124"/>
      <c r="EP31" s="124"/>
      <c r="EQ31" s="124"/>
      <c r="ER31" s="124"/>
      <c r="ES31" s="124"/>
      <c r="ET31" s="124"/>
      <c r="EU31" s="124"/>
      <c r="EV31" s="124"/>
      <c r="EW31" s="124"/>
      <c r="EX31" s="124"/>
      <c r="EY31" s="124"/>
      <c r="EZ31" s="124"/>
      <c r="FA31" s="124"/>
      <c r="FB31" s="124"/>
      <c r="FC31" s="124"/>
      <c r="FD31" s="124"/>
      <c r="FE31" s="124"/>
      <c r="FF31" s="124"/>
      <c r="FG31" s="124"/>
      <c r="FH31" s="124"/>
      <c r="FI31" s="124"/>
      <c r="FJ31" s="124"/>
      <c r="FK31" s="124"/>
      <c r="FL31" s="124"/>
      <c r="FM31" s="124"/>
      <c r="FN31" s="124"/>
      <c r="FO31" s="124"/>
      <c r="FP31" s="124"/>
      <c r="FQ31" s="124"/>
      <c r="FR31" s="124"/>
      <c r="FS31" s="124"/>
      <c r="FT31" s="124"/>
      <c r="FU31" s="124"/>
      <c r="FV31" s="124"/>
      <c r="FW31" s="124"/>
      <c r="FX31" s="124"/>
      <c r="FY31" s="124"/>
      <c r="FZ31" s="124"/>
      <c r="GA31" s="124"/>
      <c r="GB31" s="124"/>
      <c r="GC31" s="124"/>
      <c r="GD31" s="124"/>
      <c r="GE31" s="124"/>
      <c r="GF31" s="124"/>
      <c r="GG31" s="124"/>
      <c r="GH31" s="124"/>
      <c r="GI31" s="124"/>
      <c r="GJ31" s="124"/>
      <c r="GK31" s="124"/>
      <c r="GL31" s="124"/>
      <c r="GM31" s="124"/>
      <c r="GN31" s="124"/>
      <c r="GO31" s="124"/>
      <c r="GP31" s="124"/>
      <c r="GQ31" s="124"/>
      <c r="GR31" s="124"/>
      <c r="GS31" s="124"/>
      <c r="GT31" s="124"/>
      <c r="GU31" s="124"/>
      <c r="GV31" s="124"/>
      <c r="GW31" s="124"/>
      <c r="GX31" s="124"/>
      <c r="GY31" s="124"/>
      <c r="GZ31" s="124"/>
      <c r="HA31" s="124"/>
      <c r="HB31" s="124"/>
      <c r="HC31" s="124"/>
      <c r="HD31" s="124"/>
      <c r="HE31" s="124"/>
      <c r="HF31" s="124"/>
      <c r="HG31" s="124"/>
      <c r="HH31" s="124"/>
      <c r="HI31" s="124"/>
      <c r="HJ31" s="124"/>
      <c r="HK31" s="124"/>
      <c r="HL31" s="124"/>
      <c r="HM31" s="124"/>
      <c r="HN31" s="124"/>
      <c r="HO31" s="124"/>
      <c r="HP31" s="124"/>
      <c r="HQ31" s="124"/>
      <c r="HR31" s="124"/>
      <c r="HS31" s="124"/>
      <c r="HT31" s="124"/>
      <c r="HU31" s="124"/>
      <c r="HV31" s="124"/>
      <c r="HW31" s="124"/>
      <c r="HX31" s="124"/>
      <c r="HY31" s="124"/>
      <c r="HZ31" s="124"/>
      <c r="IA31" s="124"/>
      <c r="IB31" s="124"/>
      <c r="IC31" s="124"/>
      <c r="ID31" s="124"/>
      <c r="IE31" s="124"/>
      <c r="IF31" s="124"/>
      <c r="IG31" s="124"/>
      <c r="IH31" s="124"/>
      <c r="II31" s="124"/>
      <c r="IJ31" s="124"/>
      <c r="IK31" s="124"/>
      <c r="IL31" s="124"/>
      <c r="IM31" s="124"/>
      <c r="IN31" s="124"/>
      <c r="IO31" s="124"/>
      <c r="IP31" s="124"/>
      <c r="IQ31" s="124"/>
      <c r="IR31" s="124"/>
      <c r="IS31" s="124"/>
      <c r="IT31" s="124"/>
      <c r="IU31" s="124"/>
      <c r="IV31" s="124"/>
      <c r="IW31" s="124"/>
      <c r="IX31" s="124"/>
      <c r="IY31" s="124"/>
      <c r="IZ31" s="235"/>
      <c r="JA31" s="235"/>
      <c r="JB31" s="235"/>
      <c r="JC31" s="235"/>
      <c r="JD31" s="235"/>
      <c r="JE31" s="235"/>
      <c r="JF31" s="235"/>
      <c r="JG31" s="235"/>
      <c r="JH31" s="235"/>
      <c r="JI31" s="235"/>
      <c r="JJ31" s="235"/>
      <c r="JK31" s="235"/>
      <c r="JL31" s="235"/>
      <c r="JM31" s="235"/>
      <c r="JN31" s="235"/>
      <c r="JO31" s="235"/>
      <c r="JP31" s="235"/>
      <c r="JQ31" s="235"/>
      <c r="JR31" s="235"/>
      <c r="JS31" s="235"/>
      <c r="JT31" s="235"/>
      <c r="JU31" s="235"/>
      <c r="JV31" s="235"/>
      <c r="JW31" s="235"/>
      <c r="JX31" s="235"/>
      <c r="JY31" s="235"/>
      <c r="JZ31" s="235"/>
      <c r="KA31" s="235"/>
      <c r="KB31" s="235"/>
      <c r="KC31" s="235"/>
      <c r="KD31" s="235"/>
      <c r="KE31" s="235"/>
      <c r="KF31" s="235"/>
      <c r="KG31" s="235"/>
      <c r="KH31" s="235"/>
      <c r="KI31" s="235"/>
      <c r="KJ31" s="235"/>
      <c r="KK31" s="235"/>
      <c r="KL31" s="235"/>
      <c r="KM31" s="235"/>
      <c r="KN31" s="235"/>
      <c r="KO31" s="235"/>
      <c r="KP31" s="235"/>
      <c r="KQ31" s="235"/>
      <c r="KR31" s="235"/>
      <c r="KS31" s="235"/>
      <c r="KT31" s="235"/>
      <c r="KU31" s="235"/>
      <c r="KV31" s="235"/>
      <c r="KW31" s="235"/>
      <c r="KX31" s="235"/>
      <c r="KY31" s="235"/>
      <c r="KZ31" s="235"/>
      <c r="LA31" s="235"/>
      <c r="LB31" s="235"/>
      <c r="LC31" s="235"/>
      <c r="LD31" s="235"/>
      <c r="LE31" s="235"/>
      <c r="LF31" s="235"/>
      <c r="LG31" s="235"/>
      <c r="LH31" s="235"/>
      <c r="LI31" s="235"/>
      <c r="LJ31" s="235"/>
      <c r="LK31" s="235"/>
      <c r="LL31" s="235"/>
      <c r="LM31" s="235"/>
      <c r="LN31" s="235"/>
      <c r="LO31" s="235"/>
      <c r="LP31" s="235"/>
      <c r="LQ31" s="235"/>
      <c r="LR31" s="235"/>
      <c r="LS31" s="235"/>
      <c r="LT31" s="235"/>
      <c r="LU31" s="235"/>
      <c r="LV31" s="235"/>
      <c r="LW31" s="235"/>
      <c r="LX31" s="235"/>
      <c r="LY31" s="235"/>
      <c r="LZ31" s="235"/>
      <c r="MA31" s="235"/>
      <c r="MB31" s="235"/>
      <c r="MC31" s="235"/>
      <c r="MD31" s="235"/>
      <c r="ME31" s="235"/>
      <c r="MF31" s="235"/>
      <c r="MG31" s="235"/>
      <c r="MH31" s="235"/>
      <c r="MI31" s="235"/>
      <c r="MJ31" s="235"/>
      <c r="MK31" s="235"/>
      <c r="ML31" s="235"/>
      <c r="MM31" s="235"/>
      <c r="MN31" s="235"/>
      <c r="MO31" s="235"/>
      <c r="MP31" s="235"/>
      <c r="MQ31" s="235"/>
      <c r="MR31" s="235"/>
      <c r="MS31" s="235"/>
      <c r="MT31" s="235"/>
      <c r="MU31" s="235"/>
      <c r="MV31" s="235"/>
      <c r="MW31" s="235"/>
      <c r="MX31" s="235"/>
      <c r="MY31" s="235"/>
      <c r="MZ31" s="235"/>
      <c r="NA31" s="235"/>
      <c r="NB31" s="235"/>
      <c r="NC31" s="235"/>
      <c r="ND31" s="235"/>
      <c r="NE31" s="235"/>
      <c r="NF31" s="235"/>
      <c r="NG31" s="235"/>
      <c r="NH31" s="235"/>
      <c r="NI31" s="235"/>
      <c r="NJ31" s="235"/>
      <c r="NK31" s="235"/>
      <c r="NL31" s="235"/>
      <c r="NM31" s="235"/>
      <c r="NN31" s="235"/>
      <c r="NO31" s="235"/>
      <c r="NP31" s="235"/>
      <c r="NQ31" s="235"/>
      <c r="NR31" s="235"/>
      <c r="NS31" s="235"/>
      <c r="NT31" s="235"/>
      <c r="NU31" s="235"/>
      <c r="NV31" s="235"/>
      <c r="NW31" s="235"/>
      <c r="NX31" s="235"/>
      <c r="NY31" s="235"/>
      <c r="NZ31" s="235"/>
      <c r="OA31" s="235"/>
      <c r="OB31" s="235"/>
      <c r="OC31" s="235"/>
      <c r="OD31" s="235"/>
      <c r="OE31" s="235"/>
      <c r="OF31" s="235"/>
      <c r="OG31" s="235"/>
      <c r="OH31" s="235"/>
      <c r="OI31" s="235"/>
      <c r="OJ31" s="235"/>
      <c r="OK31" s="235"/>
      <c r="OL31" s="235"/>
      <c r="OM31" s="235"/>
      <c r="ON31" s="235"/>
      <c r="OO31" s="235"/>
      <c r="OP31" s="235"/>
      <c r="OQ31" s="235"/>
      <c r="OR31" s="235"/>
      <c r="OS31" s="235"/>
      <c r="OT31" s="235"/>
      <c r="OU31" s="235"/>
      <c r="OV31" s="235"/>
      <c r="OW31" s="235"/>
      <c r="OX31" s="235"/>
      <c r="OY31" s="235"/>
      <c r="OZ31" s="235"/>
      <c r="PA31" s="235"/>
      <c r="PB31" s="235"/>
      <c r="PC31" s="235"/>
      <c r="PD31" s="235"/>
      <c r="PE31" s="235"/>
      <c r="PF31" s="235"/>
      <c r="PG31" s="235"/>
      <c r="PH31" s="235"/>
      <c r="PI31" s="235"/>
      <c r="PJ31" s="235"/>
      <c r="PK31" s="235"/>
      <c r="PL31" s="235"/>
      <c r="PM31" s="235"/>
      <c r="PN31" s="235"/>
      <c r="PO31" s="235"/>
      <c r="PP31" s="235"/>
      <c r="PQ31" s="235"/>
      <c r="PR31" s="235"/>
      <c r="PS31" s="235"/>
      <c r="PT31" s="235"/>
      <c r="PU31" s="235"/>
      <c r="PV31" s="235"/>
      <c r="PW31" s="235"/>
      <c r="PX31" s="235"/>
      <c r="PY31" s="235"/>
      <c r="PZ31" s="235"/>
      <c r="QA31" s="235"/>
      <c r="QB31" s="235"/>
      <c r="QC31" s="235"/>
      <c r="QD31" s="235"/>
      <c r="QE31" s="235"/>
      <c r="QF31" s="235"/>
      <c r="QG31" s="235"/>
      <c r="QH31" s="235"/>
      <c r="QI31" s="235"/>
      <c r="QJ31" s="235"/>
      <c r="QK31" s="235"/>
      <c r="QL31" s="235"/>
      <c r="QM31" s="235"/>
      <c r="QN31" s="235"/>
      <c r="QO31" s="235"/>
      <c r="QP31" s="235"/>
      <c r="QQ31" s="235"/>
      <c r="QR31" s="235"/>
      <c r="QS31" s="235"/>
      <c r="QT31" s="235"/>
      <c r="QU31" s="235"/>
      <c r="QV31" s="235"/>
      <c r="QW31" s="235"/>
      <c r="QX31" s="235"/>
      <c r="QY31" s="235"/>
      <c r="QZ31" s="235"/>
      <c r="RA31" s="235"/>
      <c r="RB31" s="235"/>
      <c r="RC31" s="235"/>
      <c r="RD31" s="235"/>
      <c r="RE31" s="235"/>
      <c r="RF31" s="235"/>
      <c r="RG31" s="235"/>
      <c r="RH31" s="235"/>
      <c r="RI31" s="235"/>
      <c r="RJ31" s="235"/>
      <c r="RK31" s="235"/>
      <c r="RL31" s="235"/>
      <c r="RM31" s="235"/>
      <c r="RN31" s="235"/>
      <c r="RO31" s="235"/>
      <c r="RP31" s="235"/>
      <c r="RQ31" s="235"/>
      <c r="RR31" s="235"/>
      <c r="RS31" s="235"/>
      <c r="RT31" s="235"/>
      <c r="RU31" s="235"/>
      <c r="RV31" s="235"/>
      <c r="RW31" s="235"/>
      <c r="RX31" s="235"/>
      <c r="RY31" s="235"/>
      <c r="RZ31" s="235"/>
      <c r="SA31" s="235"/>
      <c r="SB31" s="235"/>
      <c r="SC31" s="235"/>
      <c r="SD31" s="235"/>
      <c r="SE31" s="235"/>
      <c r="SF31" s="235"/>
      <c r="SG31" s="235"/>
      <c r="SH31" s="235"/>
      <c r="SI31" s="235"/>
      <c r="SJ31" s="235"/>
      <c r="SK31" s="235"/>
      <c r="SL31" s="235"/>
      <c r="SM31" s="235"/>
      <c r="SN31" s="235"/>
      <c r="SO31" s="235"/>
      <c r="SP31" s="235"/>
      <c r="SQ31" s="235"/>
      <c r="SR31" s="235"/>
      <c r="SS31" s="235"/>
      <c r="ST31" s="235"/>
      <c r="SU31" s="235"/>
      <c r="SV31" s="235"/>
      <c r="SW31" s="235"/>
      <c r="SX31" s="235"/>
      <c r="SY31" s="235"/>
      <c r="SZ31" s="235"/>
      <c r="TA31" s="235"/>
      <c r="TB31" s="235"/>
      <c r="TC31" s="235"/>
      <c r="TD31" s="235"/>
      <c r="TE31" s="235"/>
      <c r="TF31" s="235"/>
      <c r="TG31" s="235"/>
      <c r="TH31" s="235"/>
      <c r="TI31" s="235"/>
      <c r="TJ31" s="235"/>
      <c r="TK31" s="235"/>
      <c r="TL31" s="235"/>
      <c r="TM31" s="235"/>
      <c r="TN31" s="235"/>
      <c r="TO31" s="235"/>
      <c r="TP31" s="235"/>
      <c r="TQ31" s="235"/>
      <c r="TR31" s="235"/>
      <c r="TS31" s="235"/>
      <c r="TT31" s="235"/>
      <c r="TU31" s="235"/>
      <c r="TV31" s="235"/>
      <c r="TW31" s="235"/>
      <c r="TX31" s="235"/>
      <c r="TY31" s="235"/>
      <c r="TZ31" s="235"/>
      <c r="UA31" s="235"/>
      <c r="UB31" s="235"/>
      <c r="UC31" s="235"/>
      <c r="UD31" s="235"/>
      <c r="UE31" s="235"/>
      <c r="UF31" s="235"/>
      <c r="UG31" s="235"/>
      <c r="UH31" s="235"/>
      <c r="UI31" s="235"/>
      <c r="UJ31" s="235"/>
      <c r="UK31" s="235"/>
      <c r="UL31" s="235"/>
      <c r="UM31" s="235"/>
      <c r="UN31" s="235"/>
      <c r="UO31" s="235"/>
      <c r="UP31" s="235"/>
      <c r="UQ31" s="235"/>
      <c r="UR31" s="235"/>
      <c r="US31" s="235"/>
      <c r="UT31" s="235"/>
      <c r="UU31" s="235"/>
      <c r="UV31" s="235"/>
      <c r="UW31" s="235"/>
      <c r="UX31" s="235"/>
      <c r="UY31" s="235"/>
      <c r="UZ31" s="235"/>
      <c r="VA31" s="235"/>
      <c r="VB31" s="235"/>
      <c r="VC31" s="235"/>
      <c r="VD31" s="235"/>
      <c r="VE31" s="235"/>
      <c r="VF31" s="235"/>
      <c r="VG31" s="235"/>
      <c r="VH31" s="235"/>
      <c r="VI31" s="235"/>
      <c r="VJ31" s="235"/>
      <c r="VK31" s="235"/>
      <c r="VL31" s="235"/>
      <c r="VM31" s="235"/>
      <c r="VN31" s="235"/>
      <c r="VO31" s="235"/>
      <c r="VP31" s="235"/>
      <c r="VQ31" s="235"/>
      <c r="VR31" s="235"/>
      <c r="VS31" s="235"/>
      <c r="VT31" s="235"/>
      <c r="VU31" s="235"/>
      <c r="VV31" s="235"/>
      <c r="VW31" s="235"/>
      <c r="VX31" s="235"/>
      <c r="VY31" s="235"/>
      <c r="VZ31" s="235"/>
      <c r="WA31" s="235"/>
      <c r="WB31" s="235"/>
      <c r="WC31" s="235"/>
      <c r="WD31" s="235"/>
      <c r="WE31" s="235"/>
      <c r="WF31" s="235"/>
      <c r="WG31" s="235"/>
      <c r="WH31" s="235"/>
      <c r="WI31" s="235"/>
      <c r="WJ31" s="235"/>
      <c r="WK31" s="235"/>
      <c r="WL31" s="235"/>
      <c r="WM31" s="235"/>
      <c r="WN31" s="235"/>
      <c r="WO31" s="235"/>
      <c r="WP31" s="235"/>
      <c r="WQ31" s="235"/>
      <c r="WR31" s="235"/>
      <c r="WS31" s="235"/>
      <c r="WT31" s="235"/>
      <c r="WU31" s="235"/>
      <c r="WV31" s="235"/>
      <c r="WW31" s="235"/>
      <c r="WX31" s="235"/>
      <c r="WY31" s="235"/>
      <c r="WZ31" s="235"/>
      <c r="XA31" s="235"/>
      <c r="XB31" s="235"/>
      <c r="XC31" s="235"/>
      <c r="XD31" s="235"/>
      <c r="XE31" s="235"/>
      <c r="XF31" s="235"/>
      <c r="XG31" s="235"/>
      <c r="XH31" s="235"/>
      <c r="XI31" s="235"/>
      <c r="XJ31" s="235"/>
      <c r="XK31" s="235"/>
      <c r="XL31" s="235"/>
      <c r="XM31" s="235"/>
      <c r="XN31" s="235"/>
      <c r="XO31" s="235"/>
      <c r="XP31" s="235"/>
      <c r="XQ31" s="235"/>
      <c r="XR31" s="235"/>
      <c r="XS31" s="235"/>
      <c r="XT31" s="235"/>
      <c r="XU31" s="235"/>
      <c r="XV31" s="235"/>
      <c r="XW31" s="235"/>
      <c r="XX31" s="235"/>
      <c r="XY31" s="235"/>
      <c r="XZ31" s="235"/>
      <c r="YA31" s="235"/>
      <c r="YB31" s="235"/>
      <c r="YC31" s="235"/>
      <c r="YD31" s="235"/>
      <c r="YE31" s="235"/>
      <c r="YF31" s="235"/>
      <c r="YG31" s="235"/>
      <c r="YH31" s="235"/>
      <c r="YI31" s="235"/>
      <c r="YJ31" s="235"/>
      <c r="YK31" s="235"/>
      <c r="YL31" s="235"/>
      <c r="YM31" s="235"/>
      <c r="YN31" s="235"/>
      <c r="YO31" s="235"/>
      <c r="YP31" s="235"/>
      <c r="YQ31" s="235"/>
      <c r="YR31" s="235"/>
      <c r="YS31" s="235"/>
      <c r="YT31" s="235"/>
      <c r="YU31" s="235"/>
      <c r="YV31" s="235"/>
      <c r="YW31" s="235"/>
      <c r="YX31" s="235"/>
      <c r="YY31" s="235"/>
      <c r="YZ31" s="235"/>
      <c r="ZA31" s="235"/>
      <c r="ZB31" s="235"/>
      <c r="ZC31" s="235"/>
      <c r="ZD31" s="235"/>
      <c r="ZE31" s="235"/>
      <c r="ZF31" s="235"/>
      <c r="ZG31" s="235"/>
      <c r="ZH31" s="235"/>
      <c r="ZI31" s="235"/>
      <c r="ZJ31" s="235"/>
      <c r="ZK31" s="235"/>
      <c r="ZL31" s="235"/>
      <c r="ZM31" s="235"/>
      <c r="ZN31" s="235"/>
      <c r="ZO31" s="235"/>
      <c r="ZP31" s="235"/>
      <c r="ZQ31" s="235"/>
      <c r="ZR31" s="235"/>
      <c r="ZS31" s="235"/>
      <c r="ZT31" s="235"/>
      <c r="ZU31" s="235"/>
      <c r="ZV31" s="235"/>
      <c r="ZW31" s="235"/>
      <c r="ZX31" s="235"/>
      <c r="ZY31" s="235"/>
      <c r="ZZ31" s="235"/>
      <c r="AAA31" s="235"/>
      <c r="AAB31" s="235"/>
      <c r="AAC31" s="235"/>
      <c r="AAD31" s="235"/>
      <c r="AAE31" s="235"/>
      <c r="AAF31" s="235"/>
      <c r="AAG31" s="235"/>
      <c r="AAH31" s="235"/>
      <c r="AAI31" s="235"/>
      <c r="AAJ31" s="235"/>
      <c r="AAK31" s="235"/>
      <c r="AAL31" s="235"/>
      <c r="AAM31" s="235"/>
      <c r="AAN31" s="235"/>
      <c r="AAO31" s="235"/>
      <c r="AAP31" s="235"/>
      <c r="AAQ31" s="235"/>
      <c r="AAR31" s="235"/>
      <c r="AAS31" s="235"/>
      <c r="AAT31" s="235"/>
      <c r="AAU31" s="235"/>
      <c r="AAV31" s="235"/>
      <c r="AAW31" s="235"/>
      <c r="AAX31" s="235"/>
      <c r="AAY31" s="235"/>
      <c r="AAZ31" s="235"/>
      <c r="ABA31" s="235"/>
      <c r="ABB31" s="235"/>
      <c r="ABC31" s="235"/>
      <c r="ABD31" s="235"/>
      <c r="ABE31" s="235"/>
      <c r="ABF31" s="235"/>
      <c r="ABG31" s="235"/>
      <c r="ABH31" s="235"/>
      <c r="ABI31" s="235"/>
      <c r="ABJ31" s="235"/>
      <c r="ABK31" s="235"/>
      <c r="ABL31" s="235"/>
      <c r="ABM31" s="235"/>
      <c r="ABN31" s="235"/>
      <c r="ABO31" s="235"/>
      <c r="ABP31" s="235"/>
      <c r="ABQ31" s="235"/>
      <c r="ABR31" s="235"/>
      <c r="ABS31" s="235"/>
      <c r="ABT31" s="235"/>
      <c r="ABU31" s="235"/>
      <c r="ABV31" s="235"/>
      <c r="ABW31" s="235"/>
      <c r="ABX31" s="235"/>
      <c r="ABY31" s="235"/>
      <c r="ABZ31" s="235"/>
      <c r="ACA31" s="235"/>
      <c r="ACB31" s="235"/>
      <c r="ACC31" s="235"/>
      <c r="ACD31" s="235"/>
      <c r="ACE31" s="235"/>
      <c r="ACF31" s="235"/>
      <c r="ACG31" s="235"/>
      <c r="ACH31" s="235"/>
      <c r="ACI31" s="235"/>
      <c r="ACJ31" s="235"/>
      <c r="ACK31" s="235"/>
      <c r="ACL31" s="235"/>
      <c r="ACM31" s="235"/>
      <c r="ACN31" s="235"/>
      <c r="ACO31" s="235"/>
      <c r="ACP31" s="235"/>
      <c r="ACQ31" s="235"/>
      <c r="ACR31" s="235"/>
      <c r="ACS31" s="235"/>
      <c r="ACT31" s="235"/>
      <c r="ACU31" s="235"/>
      <c r="ACV31" s="235"/>
      <c r="ACW31" s="235"/>
      <c r="ACX31" s="235"/>
      <c r="ACY31" s="235"/>
      <c r="ACZ31" s="235"/>
      <c r="ADA31" s="235"/>
      <c r="ADB31" s="235"/>
      <c r="ADC31" s="235"/>
      <c r="ADD31" s="235"/>
      <c r="ADE31" s="235"/>
      <c r="ADF31" s="235"/>
      <c r="ADG31" s="235"/>
      <c r="ADH31" s="235"/>
      <c r="ADI31" s="235"/>
      <c r="ADJ31" s="235"/>
      <c r="ADK31" s="235"/>
      <c r="ADL31" s="235"/>
      <c r="ADM31" s="235"/>
      <c r="ADN31" s="235"/>
      <c r="ADO31" s="235"/>
      <c r="ADP31" s="235"/>
      <c r="ADQ31" s="235"/>
      <c r="ADR31" s="235"/>
      <c r="ADS31" s="235"/>
      <c r="ADT31" s="235"/>
      <c r="ADU31" s="235"/>
      <c r="ADV31" s="235"/>
      <c r="ADW31" s="235"/>
      <c r="ADX31" s="235"/>
      <c r="ADY31" s="235"/>
      <c r="ADZ31" s="235"/>
      <c r="AEA31" s="235"/>
      <c r="AEB31" s="235"/>
      <c r="AEC31" s="235"/>
      <c r="AED31" s="235"/>
      <c r="AEE31" s="235"/>
      <c r="AEF31" s="235"/>
      <c r="AEG31" s="235"/>
      <c r="AEH31" s="235"/>
      <c r="AEI31" s="235"/>
      <c r="AEJ31" s="235"/>
      <c r="AEK31" s="235"/>
      <c r="AEL31" s="235"/>
      <c r="AEM31" s="235"/>
      <c r="AEN31" s="235"/>
      <c r="AEO31" s="235"/>
      <c r="AEP31" s="235"/>
      <c r="AEQ31" s="235"/>
      <c r="AER31" s="235"/>
      <c r="AES31" s="235"/>
      <c r="AET31" s="235"/>
      <c r="AEU31" s="235"/>
      <c r="AEV31" s="235"/>
      <c r="AEW31" s="235"/>
      <c r="AEX31" s="235"/>
      <c r="AEY31" s="235"/>
      <c r="AEZ31" s="235"/>
      <c r="AFA31" s="235"/>
      <c r="AFB31" s="235"/>
      <c r="AFC31" s="235"/>
      <c r="AFD31" s="235"/>
      <c r="AFE31" s="235"/>
      <c r="AFF31" s="235"/>
      <c r="AFG31" s="235"/>
      <c r="AFH31" s="235"/>
      <c r="AFI31" s="235"/>
      <c r="AFJ31" s="235"/>
      <c r="AFK31" s="235"/>
      <c r="AFL31" s="235"/>
      <c r="AFM31" s="235"/>
      <c r="AFN31" s="235"/>
      <c r="AFO31" s="235"/>
      <c r="AFP31" s="235"/>
      <c r="AFQ31" s="235"/>
      <c r="AFR31" s="235"/>
      <c r="AFS31" s="235"/>
      <c r="AFT31" s="235"/>
      <c r="AFU31" s="235"/>
      <c r="AFV31" s="235"/>
      <c r="AFW31" s="235"/>
      <c r="AFX31" s="235"/>
      <c r="AFY31" s="235"/>
      <c r="AFZ31" s="235"/>
      <c r="AGA31" s="235"/>
      <c r="AGB31" s="235"/>
      <c r="AGC31" s="235"/>
      <c r="AGD31" s="235"/>
      <c r="AGE31" s="235"/>
      <c r="AGF31" s="235"/>
      <c r="AGG31" s="235"/>
      <c r="AGH31" s="235"/>
      <c r="AGI31" s="235"/>
      <c r="AGJ31" s="235"/>
      <c r="AGK31" s="235"/>
      <c r="AGL31" s="235"/>
      <c r="AGM31" s="235"/>
      <c r="AGN31" s="235"/>
      <c r="AGO31" s="235"/>
      <c r="AGP31" s="235"/>
      <c r="AGQ31" s="235"/>
      <c r="AGR31" s="235"/>
      <c r="AGS31" s="235"/>
      <c r="AGT31" s="235"/>
      <c r="AGU31" s="235"/>
      <c r="AGV31" s="235"/>
      <c r="AGW31" s="235"/>
      <c r="AGX31" s="235"/>
      <c r="AGY31" s="235"/>
      <c r="AGZ31" s="235"/>
      <c r="AHA31" s="235"/>
      <c r="AHB31" s="235"/>
      <c r="AHC31" s="235"/>
      <c r="AHD31" s="235"/>
      <c r="AHE31" s="235"/>
      <c r="AHF31" s="235"/>
      <c r="AHG31" s="235"/>
      <c r="AHH31" s="235"/>
      <c r="AHI31" s="235"/>
      <c r="AHJ31" s="235"/>
      <c r="AHK31" s="235"/>
      <c r="AHL31" s="235"/>
      <c r="AHM31" s="235"/>
      <c r="AHN31" s="235"/>
      <c r="AHO31" s="235"/>
      <c r="AHP31" s="235"/>
      <c r="AHQ31" s="235"/>
      <c r="AHR31" s="235"/>
      <c r="AHS31" s="235"/>
      <c r="AHT31" s="235"/>
      <c r="AHU31" s="235"/>
      <c r="AHV31" s="235"/>
      <c r="AHW31" s="235"/>
      <c r="AHX31" s="235"/>
      <c r="AHY31" s="235"/>
      <c r="AHZ31" s="235"/>
      <c r="AIA31" s="235"/>
      <c r="AIB31" s="235"/>
      <c r="AIC31" s="235"/>
      <c r="AID31" s="235"/>
      <c r="AIE31" s="235"/>
      <c r="AIF31" s="235"/>
      <c r="AIG31" s="235"/>
      <c r="AIH31" s="235"/>
      <c r="AII31" s="235"/>
      <c r="AIJ31" s="235"/>
      <c r="AIK31" s="235"/>
      <c r="AIL31" s="235"/>
      <c r="AIM31" s="235"/>
      <c r="AIN31" s="235"/>
      <c r="AIO31" s="235"/>
      <c r="AIP31" s="235"/>
      <c r="AIQ31" s="235"/>
      <c r="AIR31" s="235"/>
      <c r="AIS31" s="235"/>
      <c r="AIT31" s="235"/>
      <c r="AIU31" s="235"/>
      <c r="AIV31" s="235"/>
      <c r="AIW31" s="235"/>
      <c r="AIX31" s="235"/>
      <c r="AIY31" s="235"/>
      <c r="AIZ31" s="235"/>
      <c r="AJA31" s="235"/>
      <c r="AJB31" s="235"/>
      <c r="AJC31" s="235"/>
      <c r="AJD31" s="235"/>
      <c r="AJE31" s="235"/>
      <c r="AJF31" s="235"/>
      <c r="AJG31" s="235"/>
      <c r="AJH31" s="235"/>
      <c r="AJI31" s="235"/>
      <c r="AJJ31" s="235"/>
      <c r="AJK31" s="235"/>
      <c r="AJL31" s="235"/>
      <c r="AJM31" s="235"/>
      <c r="AJN31" s="235"/>
      <c r="AJO31" s="235"/>
      <c r="AJP31" s="235"/>
      <c r="AJQ31" s="235"/>
      <c r="AJR31" s="235"/>
      <c r="AJS31" s="235"/>
      <c r="AJT31" s="235"/>
      <c r="AJU31" s="235"/>
      <c r="AJV31" s="235"/>
      <c r="AJW31" s="235"/>
      <c r="AJX31" s="235"/>
      <c r="AJY31" s="235"/>
      <c r="AJZ31" s="235"/>
      <c r="AKA31" s="235"/>
      <c r="AKB31" s="235"/>
      <c r="AKC31" s="235"/>
      <c r="AKD31" s="235"/>
      <c r="AKE31" s="235"/>
      <c r="AKF31" s="235"/>
      <c r="AKG31" s="235"/>
      <c r="AKH31" s="235"/>
      <c r="AKI31" s="235"/>
      <c r="AKJ31" s="235"/>
      <c r="AKK31" s="235"/>
      <c r="AKL31" s="235"/>
      <c r="AKM31" s="235"/>
      <c r="AKN31" s="235"/>
      <c r="AKO31" s="235"/>
      <c r="AKP31" s="235"/>
      <c r="AKQ31" s="235"/>
      <c r="AKR31" s="235"/>
      <c r="AKS31" s="235"/>
      <c r="AKT31" s="235"/>
      <c r="AKU31" s="235"/>
      <c r="AKV31" s="235"/>
      <c r="AKW31" s="235"/>
      <c r="AKX31" s="235"/>
      <c r="AKY31" s="235"/>
      <c r="AKZ31" s="235"/>
      <c r="ALA31" s="235"/>
      <c r="ALB31" s="235"/>
      <c r="ALC31" s="235"/>
      <c r="ALD31" s="235"/>
      <c r="ALE31" s="235"/>
      <c r="ALF31" s="235"/>
      <c r="ALG31" s="235"/>
      <c r="ALH31" s="235"/>
      <c r="ALI31" s="235"/>
      <c r="ALJ31" s="235"/>
      <c r="ALK31" s="235"/>
      <c r="ALL31" s="235"/>
      <c r="ALM31" s="235"/>
      <c r="ALN31" s="235"/>
      <c r="ALO31" s="235"/>
      <c r="ALP31" s="235"/>
      <c r="ALQ31" s="235"/>
      <c r="ALR31" s="235"/>
      <c r="ALS31" s="235"/>
      <c r="ALT31" s="235"/>
      <c r="ALU31" s="235"/>
      <c r="ALV31" s="235"/>
      <c r="ALW31" s="235"/>
      <c r="ALX31" s="235"/>
      <c r="ALY31" s="235"/>
      <c r="ALZ31" s="235"/>
      <c r="AMA31" s="235"/>
      <c r="AMB31" s="235"/>
      <c r="AMC31" s="235"/>
      <c r="AMD31" s="235"/>
      <c r="AME31" s="235"/>
      <c r="AMF31" s="235"/>
      <c r="AMG31" s="235"/>
      <c r="AMH31" s="235"/>
      <c r="AMI31" s="235"/>
      <c r="AMJ31" s="235"/>
    </row>
    <row r="32" customFormat="false" ht="18" hidden="false" customHeight="true" outlineLevel="0" collapsed="false">
      <c r="B32" s="228" t="s">
        <v>270</v>
      </c>
      <c r="C32" s="228" t="s">
        <v>22</v>
      </c>
      <c r="D32" s="229" t="s">
        <v>149</v>
      </c>
      <c r="E32" s="230" t="s">
        <v>290</v>
      </c>
      <c r="F32" s="234" t="n">
        <f aca="false">(95*2)/60</f>
        <v>3.16666666666667</v>
      </c>
      <c r="G32" s="231" t="n">
        <v>0.03</v>
      </c>
      <c r="H32" s="231" t="n">
        <f aca="false">HLOOKUP(G32,BDI!$D$19:$J$30,12,)</f>
        <v>0.2354</v>
      </c>
      <c r="I32" s="232" t="n">
        <v>1097.56</v>
      </c>
      <c r="J32" s="232" t="n">
        <v>460.43</v>
      </c>
      <c r="K32" s="232" t="n">
        <v>428.32</v>
      </c>
      <c r="L32" s="232" t="n">
        <v>208.81</v>
      </c>
      <c r="M32" s="232" t="s">
        <v>260</v>
      </c>
      <c r="N32" s="232" t="s">
        <v>262</v>
      </c>
    </row>
    <row r="33" customFormat="false" ht="18" hidden="false" customHeight="true" outlineLevel="0" collapsed="false">
      <c r="B33" s="228" t="s">
        <v>270</v>
      </c>
      <c r="C33" s="228" t="s">
        <v>22</v>
      </c>
      <c r="D33" s="229" t="s">
        <v>148</v>
      </c>
      <c r="E33" s="230" t="s">
        <v>291</v>
      </c>
      <c r="F33" s="234" t="n">
        <f aca="false">(88*2)/60</f>
        <v>2.93333333333333</v>
      </c>
      <c r="G33" s="231" t="n">
        <v>0.02</v>
      </c>
      <c r="H33" s="231" t="n">
        <f aca="false">HLOOKUP(G33,BDI!$D$19:$J$30,12,)</f>
        <v>0.2223</v>
      </c>
      <c r="I33" s="232" t="n">
        <v>2644.69</v>
      </c>
      <c r="J33" s="232" t="n">
        <v>837.46</v>
      </c>
      <c r="K33" s="232" t="n">
        <v>775.81</v>
      </c>
      <c r="L33" s="232" t="n">
        <v>1031.42</v>
      </c>
      <c r="M33" s="232" t="s">
        <v>262</v>
      </c>
      <c r="N33" s="232" t="s">
        <v>262</v>
      </c>
    </row>
    <row r="34" customFormat="false" ht="18" hidden="false" customHeight="true" outlineLevel="0" collapsed="false">
      <c r="B34" s="228" t="s">
        <v>270</v>
      </c>
      <c r="C34" s="228" t="s">
        <v>22</v>
      </c>
      <c r="D34" s="229" t="s">
        <v>147</v>
      </c>
      <c r="E34" s="230" t="s">
        <v>292</v>
      </c>
      <c r="F34" s="234" t="n">
        <f aca="false">(74*2)/60</f>
        <v>2.46666666666667</v>
      </c>
      <c r="G34" s="231" t="n">
        <v>0.04</v>
      </c>
      <c r="H34" s="231" t="n">
        <f aca="false">HLOOKUP(G34,BDI!$D$19:$J$30,12,)</f>
        <v>0.2487</v>
      </c>
      <c r="I34" s="232" t="n">
        <v>357.46</v>
      </c>
      <c r="J34" s="232" t="n">
        <v>307.46</v>
      </c>
      <c r="K34" s="232" t="n">
        <v>50</v>
      </c>
      <c r="L34" s="232" t="n">
        <v>0</v>
      </c>
      <c r="M34" s="232" t="s">
        <v>260</v>
      </c>
      <c r="N34" s="232" t="s">
        <v>260</v>
      </c>
    </row>
    <row r="35" customFormat="false" ht="18" hidden="false" customHeight="true" outlineLevel="0" collapsed="false">
      <c r="B35" s="228" t="s">
        <v>270</v>
      </c>
      <c r="C35" s="228" t="s">
        <v>22</v>
      </c>
      <c r="D35" s="229" t="s">
        <v>150</v>
      </c>
      <c r="E35" s="230" t="s">
        <v>293</v>
      </c>
      <c r="F35" s="234" t="n">
        <f aca="false">(89*2)/60</f>
        <v>2.96666666666667</v>
      </c>
      <c r="G35" s="231" t="n">
        <v>0.03</v>
      </c>
      <c r="H35" s="231" t="n">
        <f aca="false">HLOOKUP(G35,BDI!$D$19:$J$30,12,)</f>
        <v>0.2354</v>
      </c>
      <c r="I35" s="232" t="n">
        <v>1460.23</v>
      </c>
      <c r="J35" s="232" t="n">
        <v>628.98</v>
      </c>
      <c r="K35" s="232" t="n">
        <v>552.14</v>
      </c>
      <c r="L35" s="232" t="n">
        <v>279.11</v>
      </c>
      <c r="M35" s="232" t="s">
        <v>260</v>
      </c>
      <c r="N35" s="232" t="s">
        <v>262</v>
      </c>
    </row>
    <row r="1048576" customFormat="false" ht="12.75" hidden="false" customHeight="false" outlineLevel="0" collapsed="false"/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B3" activeCellId="0" sqref="B3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1" width="15.62"/>
    <col collapsed="false" customWidth="true" hidden="false" outlineLevel="0" max="3" min="3" style="241" width="35.88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2" t="s">
        <v>294</v>
      </c>
      <c r="C2" s="242"/>
      <c r="D2" s="242"/>
      <c r="E2" s="242"/>
      <c r="F2" s="242"/>
      <c r="G2" s="242"/>
      <c r="H2" s="242"/>
      <c r="I2" s="242"/>
      <c r="J2" s="242"/>
    </row>
    <row r="3" customFormat="false" ht="19.5" hidden="false" customHeight="true" outlineLevel="0" collapsed="false">
      <c r="B3" s="243" t="str">
        <f aca="false">'Valor da Contratação'!B8</f>
        <v>NÃO DESONERADA</v>
      </c>
      <c r="C3" s="243"/>
      <c r="D3" s="243"/>
      <c r="E3" s="243"/>
      <c r="F3" s="243"/>
      <c r="G3" s="243"/>
      <c r="H3" s="243"/>
      <c r="I3" s="243"/>
      <c r="J3" s="243"/>
    </row>
    <row r="4" customFormat="false" ht="15" hidden="false" customHeight="true" outlineLevel="0" collapsed="false">
      <c r="B4" s="244"/>
      <c r="C4" s="244"/>
      <c r="D4" s="21"/>
    </row>
    <row r="5" customFormat="false" ht="15" hidden="false" customHeight="true" outlineLevel="0" collapsed="false">
      <c r="B5" s="245" t="s">
        <v>295</v>
      </c>
      <c r="C5" s="245"/>
      <c r="D5" s="245"/>
      <c r="E5" s="245"/>
      <c r="F5" s="245"/>
      <c r="G5" s="245"/>
      <c r="H5" s="245"/>
      <c r="I5" s="245"/>
      <c r="J5" s="245"/>
    </row>
    <row r="6" customFormat="false" ht="15" hidden="false" customHeight="true" outlineLevel="0" collapsed="false">
      <c r="B6" s="246"/>
      <c r="C6" s="2"/>
      <c r="D6" s="125"/>
      <c r="E6" s="125"/>
      <c r="J6" s="247"/>
    </row>
    <row r="7" customFormat="false" ht="15" hidden="false" customHeight="true" outlineLevel="0" collapsed="false">
      <c r="B7" s="248" t="s">
        <v>296</v>
      </c>
      <c r="C7" s="248"/>
      <c r="D7" s="248"/>
      <c r="E7" s="248"/>
      <c r="F7" s="248"/>
      <c r="G7" s="248"/>
      <c r="H7" s="248"/>
      <c r="I7" s="248"/>
      <c r="J7" s="248"/>
    </row>
    <row r="8" customFormat="false" ht="15" hidden="false" customHeight="true" outlineLevel="0" collapsed="false">
      <c r="B8" s="249"/>
      <c r="C8" s="250"/>
      <c r="D8" s="125"/>
      <c r="E8" s="125"/>
      <c r="J8" s="247"/>
    </row>
    <row r="9" customFormat="false" ht="15" hidden="false" customHeight="true" outlineLevel="0" collapsed="false">
      <c r="B9" s="251" t="s">
        <v>297</v>
      </c>
      <c r="C9" s="251"/>
      <c r="D9" s="251"/>
      <c r="E9" s="251"/>
      <c r="F9" s="251"/>
      <c r="G9" s="251"/>
      <c r="H9" s="251"/>
      <c r="I9" s="251"/>
      <c r="J9" s="251"/>
    </row>
    <row r="10" customFormat="false" ht="15" hidden="false" customHeight="true" outlineLevel="0" collapsed="false">
      <c r="B10" s="252" t="s">
        <v>298</v>
      </c>
      <c r="C10" s="252"/>
      <c r="D10" s="252"/>
      <c r="E10" s="252"/>
      <c r="F10" s="252"/>
      <c r="G10" s="252"/>
      <c r="H10" s="252"/>
      <c r="I10" s="252"/>
      <c r="J10" s="252"/>
    </row>
    <row r="11" customFormat="false" ht="15" hidden="false" customHeight="true" outlineLevel="0" collapsed="false">
      <c r="B11" s="252" t="s">
        <v>299</v>
      </c>
      <c r="C11" s="252"/>
      <c r="D11" s="252"/>
      <c r="E11" s="252"/>
      <c r="F11" s="252"/>
      <c r="G11" s="252"/>
      <c r="H11" s="252"/>
      <c r="I11" s="252"/>
      <c r="J11" s="252"/>
    </row>
    <row r="12" customFormat="false" ht="15" hidden="false" customHeight="true" outlineLevel="0" collapsed="false">
      <c r="B12" s="252" t="s">
        <v>300</v>
      </c>
      <c r="C12" s="252"/>
      <c r="D12" s="252"/>
      <c r="E12" s="252"/>
      <c r="F12" s="252"/>
      <c r="G12" s="252"/>
      <c r="H12" s="252"/>
      <c r="I12" s="252"/>
      <c r="J12" s="252"/>
    </row>
    <row r="13" customFormat="false" ht="15" hidden="false" customHeight="true" outlineLevel="0" collapsed="false">
      <c r="B13" s="252" t="s">
        <v>301</v>
      </c>
      <c r="C13" s="252"/>
      <c r="D13" s="252"/>
      <c r="E13" s="252"/>
      <c r="F13" s="252"/>
      <c r="G13" s="252"/>
      <c r="H13" s="252"/>
      <c r="I13" s="252"/>
      <c r="J13" s="252"/>
    </row>
    <row r="14" customFormat="false" ht="15" hidden="false" customHeight="true" outlineLevel="0" collapsed="false">
      <c r="B14" s="252" t="s">
        <v>302</v>
      </c>
      <c r="C14" s="252"/>
      <c r="D14" s="252"/>
      <c r="E14" s="252"/>
      <c r="F14" s="252"/>
      <c r="G14" s="252"/>
      <c r="H14" s="252"/>
      <c r="I14" s="252"/>
      <c r="J14" s="252"/>
    </row>
    <row r="15" customFormat="false" ht="15" hidden="false" customHeight="true" outlineLevel="0" collapsed="false">
      <c r="B15" s="252" t="s">
        <v>303</v>
      </c>
      <c r="C15" s="252"/>
      <c r="D15" s="252"/>
      <c r="E15" s="252"/>
      <c r="F15" s="252"/>
      <c r="G15" s="252"/>
      <c r="H15" s="252"/>
      <c r="I15" s="252"/>
      <c r="J15" s="252"/>
    </row>
    <row r="16" customFormat="false" ht="15" hidden="false" customHeight="true" outlineLevel="0" collapsed="false">
      <c r="B16" s="253" t="s">
        <v>304</v>
      </c>
      <c r="C16" s="253"/>
      <c r="D16" s="253"/>
      <c r="E16" s="253"/>
      <c r="F16" s="253"/>
      <c r="G16" s="253"/>
      <c r="H16" s="253"/>
      <c r="I16" s="253"/>
      <c r="J16" s="253"/>
    </row>
    <row r="17" customFormat="false" ht="24.75" hidden="false" customHeight="true" outlineLevel="0" collapsed="false">
      <c r="D17" s="21"/>
    </row>
    <row r="18" customFormat="false" ht="16.5" hidden="false" customHeight="true" outlineLevel="0" collapsed="false">
      <c r="B18" s="33" t="s">
        <v>305</v>
      </c>
      <c r="C18" s="33"/>
      <c r="D18" s="254" t="s">
        <v>252</v>
      </c>
      <c r="E18" s="254" t="s">
        <v>252</v>
      </c>
      <c r="F18" s="254" t="s">
        <v>252</v>
      </c>
      <c r="G18" s="255" t="s">
        <v>252</v>
      </c>
      <c r="H18" s="256" t="s">
        <v>252</v>
      </c>
      <c r="I18" s="256" t="s">
        <v>252</v>
      </c>
      <c r="J18" s="256" t="s">
        <v>252</v>
      </c>
    </row>
    <row r="19" customFormat="false" ht="16.5" hidden="false" customHeight="true" outlineLevel="0" collapsed="false">
      <c r="B19" s="33"/>
      <c r="C19" s="33"/>
      <c r="D19" s="257" t="n">
        <v>0.05</v>
      </c>
      <c r="E19" s="257" t="n">
        <v>0.04</v>
      </c>
      <c r="F19" s="257" t="n">
        <v>0.035</v>
      </c>
      <c r="G19" s="258" t="n">
        <v>0.03</v>
      </c>
      <c r="H19" s="259" t="n">
        <v>0.025</v>
      </c>
      <c r="I19" s="259" t="n">
        <v>0.02</v>
      </c>
      <c r="J19" s="259" t="n">
        <v>0.015</v>
      </c>
    </row>
    <row r="20" customFormat="false" ht="16.5" hidden="false" customHeight="true" outlineLevel="0" collapsed="false">
      <c r="B20" s="236" t="s">
        <v>306</v>
      </c>
      <c r="C20" s="260" t="s">
        <v>307</v>
      </c>
      <c r="D20" s="261" t="n">
        <v>0.04</v>
      </c>
      <c r="E20" s="261" t="n">
        <v>0.04</v>
      </c>
      <c r="F20" s="261" t="n">
        <v>0.04</v>
      </c>
      <c r="G20" s="261" t="n">
        <v>0.04</v>
      </c>
      <c r="H20" s="261" t="n">
        <v>0.04</v>
      </c>
      <c r="I20" s="261" t="n">
        <v>0.04</v>
      </c>
      <c r="J20" s="261" t="n">
        <v>0.04</v>
      </c>
    </row>
    <row r="21" customFormat="false" ht="16.5" hidden="false" customHeight="true" outlineLevel="0" collapsed="false">
      <c r="B21" s="236" t="s">
        <v>308</v>
      </c>
      <c r="C21" s="228" t="s">
        <v>309</v>
      </c>
      <c r="D21" s="262" t="n">
        <v>0.0123</v>
      </c>
      <c r="E21" s="262" t="n">
        <v>0.0123</v>
      </c>
      <c r="F21" s="262" t="n">
        <v>0.0123</v>
      </c>
      <c r="G21" s="262" t="n">
        <v>0.0123</v>
      </c>
      <c r="H21" s="262" t="n">
        <v>0.0123</v>
      </c>
      <c r="I21" s="262" t="n">
        <v>0.0123</v>
      </c>
      <c r="J21" s="262" t="n">
        <v>0.0123</v>
      </c>
    </row>
    <row r="22" customFormat="false" ht="16.5" hidden="false" customHeight="true" outlineLevel="0" collapsed="false">
      <c r="B22" s="236" t="s">
        <v>310</v>
      </c>
      <c r="C22" s="228" t="s">
        <v>311</v>
      </c>
      <c r="D22" s="262" t="n">
        <v>0.008</v>
      </c>
      <c r="E22" s="262" t="n">
        <v>0.008</v>
      </c>
      <c r="F22" s="262" t="n">
        <v>0.008</v>
      </c>
      <c r="G22" s="262" t="n">
        <v>0.008</v>
      </c>
      <c r="H22" s="262" t="n">
        <v>0.008</v>
      </c>
      <c r="I22" s="262" t="n">
        <v>0.008</v>
      </c>
      <c r="J22" s="262" t="n">
        <v>0.008</v>
      </c>
    </row>
    <row r="23" customFormat="false" ht="16.5" hidden="false" customHeight="true" outlineLevel="0" collapsed="false">
      <c r="B23" s="236" t="s">
        <v>312</v>
      </c>
      <c r="C23" s="228" t="s">
        <v>313</v>
      </c>
      <c r="D23" s="262" t="n">
        <v>0.0127</v>
      </c>
      <c r="E23" s="262" t="n">
        <v>0.0127</v>
      </c>
      <c r="F23" s="262" t="n">
        <v>0.0127</v>
      </c>
      <c r="G23" s="262" t="n">
        <v>0.0127</v>
      </c>
      <c r="H23" s="262" t="n">
        <v>0.0127</v>
      </c>
      <c r="I23" s="262" t="n">
        <v>0.0127</v>
      </c>
      <c r="J23" s="262" t="n">
        <v>0.0127</v>
      </c>
    </row>
    <row r="24" customFormat="false" ht="16.5" hidden="false" customHeight="true" outlineLevel="0" collapsed="false">
      <c r="B24" s="236" t="s">
        <v>314</v>
      </c>
      <c r="C24" s="228" t="s">
        <v>315</v>
      </c>
      <c r="D24" s="262" t="n">
        <v>0.074</v>
      </c>
      <c r="E24" s="262" t="n">
        <v>0.074</v>
      </c>
      <c r="F24" s="262" t="n">
        <v>0.074</v>
      </c>
      <c r="G24" s="262" t="n">
        <v>0.074</v>
      </c>
      <c r="H24" s="262" t="n">
        <v>0.074</v>
      </c>
      <c r="I24" s="262" t="n">
        <v>0.074</v>
      </c>
      <c r="J24" s="262" t="n">
        <v>0.074</v>
      </c>
    </row>
    <row r="25" customFormat="false" ht="16.5" hidden="false" customHeight="true" outlineLevel="0" collapsed="false">
      <c r="B25" s="236" t="s">
        <v>182</v>
      </c>
      <c r="C25" s="228" t="s">
        <v>316</v>
      </c>
      <c r="D25" s="262" t="n">
        <v>0.0065</v>
      </c>
      <c r="E25" s="262" t="n">
        <v>0.0065</v>
      </c>
      <c r="F25" s="262" t="n">
        <v>0.0065</v>
      </c>
      <c r="G25" s="262" t="n">
        <v>0.0065</v>
      </c>
      <c r="H25" s="262" t="n">
        <v>0.0065</v>
      </c>
      <c r="I25" s="262" t="n">
        <v>0.0065</v>
      </c>
      <c r="J25" s="262" t="n">
        <v>0.0065</v>
      </c>
    </row>
    <row r="26" customFormat="false" ht="16.5" hidden="false" customHeight="true" outlineLevel="0" collapsed="false">
      <c r="B26" s="236"/>
      <c r="C26" s="236" t="s">
        <v>317</v>
      </c>
      <c r="D26" s="263" t="n">
        <v>0.03</v>
      </c>
      <c r="E26" s="263" t="n">
        <v>0.03</v>
      </c>
      <c r="F26" s="263" t="n">
        <v>0.03</v>
      </c>
      <c r="G26" s="263" t="n">
        <v>0.03</v>
      </c>
      <c r="H26" s="263" t="n">
        <v>0.03</v>
      </c>
      <c r="I26" s="263" t="n">
        <v>0.03</v>
      </c>
      <c r="J26" s="263" t="n">
        <v>0.03</v>
      </c>
    </row>
    <row r="27" customFormat="false" ht="16.5" hidden="false" customHeight="true" outlineLevel="0" collapsed="false">
      <c r="B27" s="236"/>
      <c r="C27" s="236" t="s">
        <v>252</v>
      </c>
      <c r="D27" s="263" t="n">
        <v>0.05</v>
      </c>
      <c r="E27" s="263" t="n">
        <v>0.04</v>
      </c>
      <c r="F27" s="262" t="n">
        <v>0.035</v>
      </c>
      <c r="G27" s="263" t="n">
        <v>0.03</v>
      </c>
      <c r="H27" s="263" t="n">
        <v>0.025</v>
      </c>
      <c r="I27" s="263" t="n">
        <v>0.02</v>
      </c>
      <c r="J27" s="262" t="n">
        <v>0.015</v>
      </c>
    </row>
    <row r="28" customFormat="false" ht="16.5" hidden="false" customHeight="true" outlineLevel="0" collapsed="false">
      <c r="B28" s="236"/>
      <c r="C28" s="236" t="s">
        <v>318</v>
      </c>
      <c r="D28" s="263" t="n">
        <v>0</v>
      </c>
      <c r="E28" s="263" t="n">
        <v>0</v>
      </c>
      <c r="F28" s="262" t="n">
        <v>0</v>
      </c>
      <c r="G28" s="263" t="n">
        <v>0</v>
      </c>
      <c r="H28" s="263" t="n">
        <v>0</v>
      </c>
      <c r="I28" s="263" t="n">
        <v>0</v>
      </c>
      <c r="J28" s="262" t="n">
        <v>0</v>
      </c>
    </row>
    <row r="29" customFormat="false" ht="19.5" hidden="false" customHeight="true" outlineLevel="0" collapsed="false">
      <c r="B29" s="123" t="s">
        <v>319</v>
      </c>
      <c r="C29" s="123"/>
      <c r="D29" s="264" t="n">
        <f aca="false">(((1+D22+D20+D23)*(1+D21)*(1+D24))/(1-(D25+D26+D27+D28))-1)</f>
        <v>0.262401597307061</v>
      </c>
      <c r="E29" s="264" t="n">
        <f aca="false">(((1+E22+E20+E23)*(1+E21)*(1+E24))/(1-(E25+E26+E27+E28))-1)</f>
        <v>0.248731845305902</v>
      </c>
      <c r="F29" s="264" t="n">
        <f aca="false">(((1+F22+F20+F23)*(1+F21)*(1+F24))/(1-(F25+F26+F27+F28))-1)</f>
        <v>0.24200738733441</v>
      </c>
      <c r="G29" s="264" t="n">
        <f aca="false">(((1+G22+G20+G23)*(1+G21)*(1+G24))/(1-(G25+G26+G27+G28))-1)</f>
        <v>0.235354964263524</v>
      </c>
      <c r="H29" s="264" t="n">
        <f aca="false">(((1+H22+H20+H23)*(1+H21)*(1+H24))/(1-(H25+H26+H27+H28))-1)</f>
        <v>0.22877342476292</v>
      </c>
      <c r="I29" s="264" t="n">
        <f aca="false">(((1+I22+I20+I23)*(1+I21)*(1+I24))/(1-(I25+I26+I27+I28))-1)</f>
        <v>0.22226164190779</v>
      </c>
      <c r="J29" s="264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65" t="s">
        <v>320</v>
      </c>
      <c r="C30" s="265"/>
      <c r="D30" s="266" t="n">
        <f aca="false">ROUND(D29,4)</f>
        <v>0.2624</v>
      </c>
      <c r="E30" s="266" t="n">
        <f aca="false">ROUND(E29,4)</f>
        <v>0.2487</v>
      </c>
      <c r="F30" s="266" t="n">
        <f aca="false">ROUND(F29,4)</f>
        <v>0.242</v>
      </c>
      <c r="G30" s="266" t="n">
        <f aca="false">ROUND(G29,4)</f>
        <v>0.2354</v>
      </c>
      <c r="H30" s="266" t="n">
        <f aca="false">ROUND(H29,4)</f>
        <v>0.2288</v>
      </c>
      <c r="I30" s="266" t="n">
        <f aca="false">ROUND(I29,4)</f>
        <v>0.2223</v>
      </c>
      <c r="J30" s="266" t="n">
        <f aca="false">ROUND(J29,4)</f>
        <v>0.2158</v>
      </c>
    </row>
    <row r="31" customFormat="false" ht="24.75" hidden="false" customHeight="true" outlineLevel="0" collapsed="false">
      <c r="B31" s="267"/>
      <c r="C31" s="267"/>
      <c r="D31" s="86"/>
      <c r="E31" s="86"/>
      <c r="F31" s="86"/>
      <c r="G31" s="86"/>
      <c r="H31" s="86"/>
      <c r="I31" s="86"/>
      <c r="J31" s="86"/>
    </row>
    <row r="32" customFormat="false" ht="16.5" hidden="false" customHeight="true" outlineLevel="0" collapsed="false">
      <c r="B32" s="33" t="s">
        <v>321</v>
      </c>
      <c r="C32" s="33"/>
      <c r="D32" s="254" t="s">
        <v>252</v>
      </c>
      <c r="E32" s="254" t="s">
        <v>252</v>
      </c>
      <c r="F32" s="254" t="s">
        <v>252</v>
      </c>
      <c r="G32" s="255" t="s">
        <v>252</v>
      </c>
      <c r="H32" s="256" t="s">
        <v>252</v>
      </c>
      <c r="I32" s="256" t="s">
        <v>252</v>
      </c>
      <c r="J32" s="256" t="s">
        <v>252</v>
      </c>
    </row>
    <row r="33" customFormat="false" ht="16.5" hidden="false" customHeight="true" outlineLevel="0" collapsed="false">
      <c r="B33" s="33"/>
      <c r="C33" s="33"/>
      <c r="D33" s="257" t="n">
        <v>0.05</v>
      </c>
      <c r="E33" s="257" t="n">
        <v>0.04</v>
      </c>
      <c r="F33" s="257" t="n">
        <v>0.035</v>
      </c>
      <c r="G33" s="258" t="n">
        <v>0.03</v>
      </c>
      <c r="H33" s="259" t="n">
        <v>0.025</v>
      </c>
      <c r="I33" s="259" t="n">
        <v>0.02</v>
      </c>
      <c r="J33" s="259" t="n">
        <v>0.015</v>
      </c>
    </row>
    <row r="34" customFormat="false" ht="16.5" hidden="false" customHeight="true" outlineLevel="0" collapsed="false">
      <c r="B34" s="236" t="s">
        <v>306</v>
      </c>
      <c r="C34" s="260" t="s">
        <v>307</v>
      </c>
      <c r="D34" s="262" t="n">
        <v>0.0345</v>
      </c>
      <c r="E34" s="262" t="n">
        <v>0.0345</v>
      </c>
      <c r="F34" s="262" t="n">
        <v>0.0345</v>
      </c>
      <c r="G34" s="262" t="n">
        <v>0.0345</v>
      </c>
      <c r="H34" s="262" t="n">
        <v>0.0345</v>
      </c>
      <c r="I34" s="262" t="n">
        <v>0.0345</v>
      </c>
      <c r="J34" s="262" t="n">
        <v>0.0345</v>
      </c>
    </row>
    <row r="35" customFormat="false" ht="16.5" hidden="false" customHeight="true" outlineLevel="0" collapsed="false">
      <c r="B35" s="236" t="s">
        <v>308</v>
      </c>
      <c r="C35" s="228" t="s">
        <v>309</v>
      </c>
      <c r="D35" s="262" t="n">
        <v>0.0085</v>
      </c>
      <c r="E35" s="262" t="n">
        <v>0.0085</v>
      </c>
      <c r="F35" s="262" t="n">
        <v>0.0085</v>
      </c>
      <c r="G35" s="262" t="n">
        <v>0.0085</v>
      </c>
      <c r="H35" s="262" t="n">
        <v>0.0085</v>
      </c>
      <c r="I35" s="262" t="n">
        <v>0.0085</v>
      </c>
      <c r="J35" s="262" t="n">
        <v>0.0085</v>
      </c>
    </row>
    <row r="36" customFormat="false" ht="16.5" hidden="false" customHeight="true" outlineLevel="0" collapsed="false">
      <c r="B36" s="236" t="s">
        <v>310</v>
      </c>
      <c r="C36" s="228" t="s">
        <v>311</v>
      </c>
      <c r="D36" s="262" t="n">
        <v>0.0048</v>
      </c>
      <c r="E36" s="262" t="n">
        <v>0.0048</v>
      </c>
      <c r="F36" s="262" t="n">
        <v>0.0048</v>
      </c>
      <c r="G36" s="262" t="n">
        <v>0.0048</v>
      </c>
      <c r="H36" s="262" t="n">
        <v>0.0048</v>
      </c>
      <c r="I36" s="262" t="n">
        <v>0.0048</v>
      </c>
      <c r="J36" s="262" t="n">
        <v>0.0048</v>
      </c>
    </row>
    <row r="37" customFormat="false" ht="16.5" hidden="false" customHeight="true" outlineLevel="0" collapsed="false">
      <c r="B37" s="236" t="s">
        <v>312</v>
      </c>
      <c r="C37" s="228" t="s">
        <v>313</v>
      </c>
      <c r="D37" s="262" t="n">
        <v>0.0085</v>
      </c>
      <c r="E37" s="262" t="n">
        <v>0.0085</v>
      </c>
      <c r="F37" s="262" t="n">
        <v>0.0085</v>
      </c>
      <c r="G37" s="262" t="n">
        <v>0.0085</v>
      </c>
      <c r="H37" s="262" t="n">
        <v>0.0085</v>
      </c>
      <c r="I37" s="262" t="n">
        <v>0.0085</v>
      </c>
      <c r="J37" s="262" t="n">
        <v>0.0085</v>
      </c>
    </row>
    <row r="38" customFormat="false" ht="16.5" hidden="false" customHeight="true" outlineLevel="0" collapsed="false">
      <c r="B38" s="236" t="s">
        <v>314</v>
      </c>
      <c r="C38" s="228" t="s">
        <v>315</v>
      </c>
      <c r="D38" s="262" t="n">
        <v>0.0511</v>
      </c>
      <c r="E38" s="262" t="n">
        <v>0.0511</v>
      </c>
      <c r="F38" s="262" t="n">
        <v>0.0511</v>
      </c>
      <c r="G38" s="262" t="n">
        <v>0.0511</v>
      </c>
      <c r="H38" s="262" t="n">
        <v>0.0511</v>
      </c>
      <c r="I38" s="262" t="n">
        <v>0.0511</v>
      </c>
      <c r="J38" s="262" t="n">
        <v>0.0511</v>
      </c>
    </row>
    <row r="39" customFormat="false" ht="16.5" hidden="false" customHeight="true" outlineLevel="0" collapsed="false">
      <c r="B39" s="236" t="s">
        <v>182</v>
      </c>
      <c r="C39" s="228" t="s">
        <v>316</v>
      </c>
      <c r="D39" s="262" t="n">
        <v>0.0065</v>
      </c>
      <c r="E39" s="262" t="n">
        <v>0.0065</v>
      </c>
      <c r="F39" s="262" t="n">
        <v>0.0065</v>
      </c>
      <c r="G39" s="262" t="n">
        <v>0.0065</v>
      </c>
      <c r="H39" s="262" t="n">
        <v>0.0065</v>
      </c>
      <c r="I39" s="262" t="n">
        <v>0.0065</v>
      </c>
      <c r="J39" s="262" t="n">
        <v>0.0065</v>
      </c>
    </row>
    <row r="40" customFormat="false" ht="16.5" hidden="false" customHeight="true" outlineLevel="0" collapsed="false">
      <c r="B40" s="236"/>
      <c r="C40" s="236" t="s">
        <v>317</v>
      </c>
      <c r="D40" s="263" t="n">
        <v>0.03</v>
      </c>
      <c r="E40" s="263" t="n">
        <v>0.03</v>
      </c>
      <c r="F40" s="263" t="n">
        <v>0.03</v>
      </c>
      <c r="G40" s="263" t="n">
        <v>0.03</v>
      </c>
      <c r="H40" s="263" t="n">
        <v>0.03</v>
      </c>
      <c r="I40" s="263" t="n">
        <v>0.03</v>
      </c>
      <c r="J40" s="263" t="n">
        <v>0.03</v>
      </c>
    </row>
    <row r="41" customFormat="false" ht="16.5" hidden="false" customHeight="true" outlineLevel="0" collapsed="false">
      <c r="B41" s="236"/>
      <c r="C41" s="236" t="s">
        <v>252</v>
      </c>
      <c r="D41" s="263" t="n">
        <v>0</v>
      </c>
      <c r="E41" s="263" t="n">
        <v>0</v>
      </c>
      <c r="F41" s="262" t="n">
        <v>0</v>
      </c>
      <c r="G41" s="263" t="n">
        <v>0</v>
      </c>
      <c r="H41" s="263" t="n">
        <v>0</v>
      </c>
      <c r="I41" s="263" t="n">
        <v>0</v>
      </c>
      <c r="J41" s="262" t="n">
        <v>0</v>
      </c>
    </row>
    <row r="42" customFormat="false" ht="16.5" hidden="false" customHeight="true" outlineLevel="0" collapsed="false">
      <c r="B42" s="236"/>
      <c r="C42" s="236" t="s">
        <v>318</v>
      </c>
      <c r="D42" s="263" t="n">
        <v>0</v>
      </c>
      <c r="E42" s="263" t="n">
        <v>0</v>
      </c>
      <c r="F42" s="262" t="n">
        <v>0</v>
      </c>
      <c r="G42" s="263" t="n">
        <v>0</v>
      </c>
      <c r="H42" s="263" t="n">
        <v>0</v>
      </c>
      <c r="I42" s="263" t="n">
        <v>0</v>
      </c>
      <c r="J42" s="262" t="n">
        <v>0</v>
      </c>
    </row>
    <row r="43" customFormat="false" ht="16.5" hidden="false" customHeight="true" outlineLevel="0" collapsed="false">
      <c r="B43" s="90" t="s">
        <v>319</v>
      </c>
      <c r="C43" s="90"/>
      <c r="D43" s="264" t="n">
        <f aca="false">(((1+D36+D34+D37)*(1+D35)*(1+D38))/(1-(D39+D40+D41+D42))-1)</f>
        <v>0.152780479429164</v>
      </c>
      <c r="E43" s="264" t="n">
        <f aca="false">(((1+E36+E34+E37)*(1+E35)*(1+E38))/(1-(E39+E40+E41+E42))-1)</f>
        <v>0.152780479429164</v>
      </c>
      <c r="F43" s="264" t="n">
        <f aca="false">(((1+F36+F34+F37)*(1+F35)*(1+F38))/(1-(F39+F40+F41+F42))-1)</f>
        <v>0.152780479429164</v>
      </c>
      <c r="G43" s="264" t="n">
        <f aca="false">(((1+G36+G34+G37)*(1+G35)*(1+G38))/(1-(G39+G40+G41+G42))-1)</f>
        <v>0.152780479429164</v>
      </c>
      <c r="H43" s="264" t="n">
        <f aca="false">(((1+H36+H34+H37)*(1+H35)*(1+H38))/(1-(H39+H40+H41+H42))-1)</f>
        <v>0.152780479429164</v>
      </c>
      <c r="I43" s="264" t="n">
        <f aca="false">(((1+I36+I34+I37)*(1+I35)*(1+I38))/(1-(I39+I40+I41+I42))-1)</f>
        <v>0.152780479429164</v>
      </c>
      <c r="J43" s="264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68" t="s">
        <v>320</v>
      </c>
      <c r="C44" s="268"/>
      <c r="D44" s="266" t="n">
        <f aca="false">ROUND(D43,4)</f>
        <v>0.1528</v>
      </c>
      <c r="E44" s="266" t="n">
        <f aca="false">ROUND(E43,4)</f>
        <v>0.1528</v>
      </c>
      <c r="F44" s="266" t="n">
        <f aca="false">ROUND(F43,4)</f>
        <v>0.1528</v>
      </c>
      <c r="G44" s="266" t="n">
        <f aca="false">ROUND(G43,4)</f>
        <v>0.1528</v>
      </c>
      <c r="H44" s="266" t="n">
        <f aca="false">ROUND(H43,4)</f>
        <v>0.1528</v>
      </c>
      <c r="I44" s="266" t="n">
        <f aca="false">ROUND(I43,4)</f>
        <v>0.1528</v>
      </c>
      <c r="J44" s="266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2:AMD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7" width="9.12"/>
    <col collapsed="false" customWidth="true" hidden="false" outlineLevel="0" max="4" min="4" style="17" width="12.25"/>
    <col collapsed="false" customWidth="true" hidden="false" outlineLevel="0" max="5" min="5" style="17" width="13.62"/>
    <col collapsed="false" customWidth="true" hidden="false" outlineLevel="0" max="6" min="6" style="17" width="7"/>
    <col collapsed="false" customWidth="true" hidden="false" outlineLevel="0" max="7" min="7" style="17" width="11.88"/>
    <col collapsed="false" customWidth="true" hidden="false" outlineLevel="0" max="8" min="8" style="17" width="13.25"/>
    <col collapsed="false" customWidth="true" hidden="false" outlineLevel="0" max="9" min="9" style="17" width="12.76"/>
    <col collapsed="false" customWidth="true" hidden="false" outlineLevel="0" max="11" min="10" style="17" width="13"/>
    <col collapsed="false" customWidth="true" hidden="false" outlineLevel="0" max="13" min="12" style="17" width="9.25"/>
    <col collapsed="false" customWidth="true" hidden="false" outlineLevel="0" max="248" min="14" style="17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3" t="str">
        <f aca="false">"DIVISÃO DOS CUSTOS POR ALÍQUOTA DE ISSQN - "&amp;'Valor da Contratação'!B7&amp;""</f>
        <v>DIVISÃO DOS CUSTOS POR ALÍQUOTA DE ISSQN - POLO VIII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customFormat="false" ht="16.5" hidden="false" customHeight="true" outlineLevel="0" collapsed="false"/>
    <row r="4" customFormat="false" ht="45.75" hidden="false" customHeight="true" outlineLevel="0" collapsed="false">
      <c r="B4" s="269" t="s">
        <v>41</v>
      </c>
      <c r="C4" s="270" t="s">
        <v>322</v>
      </c>
      <c r="D4" s="270" t="s">
        <v>323</v>
      </c>
      <c r="E4" s="270" t="s">
        <v>324</v>
      </c>
      <c r="F4" s="271"/>
      <c r="G4" s="270" t="s">
        <v>325</v>
      </c>
      <c r="H4" s="270" t="s">
        <v>326</v>
      </c>
      <c r="I4" s="270" t="s">
        <v>327</v>
      </c>
      <c r="J4" s="270" t="s">
        <v>328</v>
      </c>
      <c r="K4" s="270" t="s">
        <v>329</v>
      </c>
      <c r="L4" s="270" t="s">
        <v>330</v>
      </c>
      <c r="M4" s="270" t="s">
        <v>331</v>
      </c>
    </row>
    <row r="5" customFormat="false" ht="15" hidden="false" customHeight="true" outlineLevel="0" collapsed="false">
      <c r="B5" s="118" t="str">
        <f aca="false">'Base Caxias do Sul'!B7</f>
        <v>GEX/APS CAXIAS DO SUL</v>
      </c>
      <c r="C5" s="272" t="n">
        <f aca="false">VLOOKUP(B5,Unidades!$D$5:$G$35,4,)</f>
        <v>0.04</v>
      </c>
      <c r="D5" s="273" t="n">
        <f aca="false">'Base Caxias do Sul'!AD7*12+'Base Caxias do Sul'!AE7*4+'Base Caxias do Sul'!AF7*2+'Base Caxias do Sul'!AG7</f>
        <v>16444.4150817756</v>
      </c>
      <c r="E5" s="273" t="n">
        <f aca="false">'Base Caxias do Sul'!AK7*12+'Base Caxias do Sul'!AL7*4+'Base Caxias do Sul'!AM7*2+'Base Caxias do Sul'!AN7</f>
        <v>20534.1411126132</v>
      </c>
      <c r="G5" s="263" t="n">
        <v>0.02</v>
      </c>
      <c r="H5" s="274" t="n">
        <f aca="false">SUMIF(C$5:C$35,G5,D$5:D$35)</f>
        <v>121900.48460682</v>
      </c>
      <c r="I5" s="274" t="n">
        <f aca="false">SUMIF(C$5:C$35,G5,E$5:E$35)</f>
        <v>148998.962334916</v>
      </c>
      <c r="J5" s="274" t="n">
        <f aca="false">H5*4</f>
        <v>487601.938427279</v>
      </c>
      <c r="K5" s="274" t="n">
        <f aca="false">I5*4</f>
        <v>595995.849339663</v>
      </c>
      <c r="L5" s="275" t="n">
        <f aca="false">H5/H$13</f>
        <v>0.377565489908488</v>
      </c>
      <c r="M5" s="275" t="n">
        <f aca="false">I5/I$13</f>
        <v>0.374643002125862</v>
      </c>
    </row>
    <row r="6" customFormat="false" ht="15" hidden="false" customHeight="true" outlineLevel="0" collapsed="false">
      <c r="B6" s="118" t="str">
        <f aca="false">'Base Caxias do Sul'!B8</f>
        <v>CEDOCPREV CAXIAS DO SUL</v>
      </c>
      <c r="C6" s="272" t="n">
        <f aca="false">VLOOKUP(B6,Unidades!$D$5:$G$35,4,)</f>
        <v>0.04</v>
      </c>
      <c r="D6" s="273" t="n">
        <f aca="false">'Base Caxias do Sul'!AD8*12+'Base Caxias do Sul'!AE8*4+'Base Caxias do Sul'!AF8*2+'Base Caxias do Sul'!AG8</f>
        <v>7147.52585500597</v>
      </c>
      <c r="E6" s="273" t="n">
        <f aca="false">'Base Caxias do Sul'!AK8*12+'Base Caxias do Sul'!AL8*4+'Base Caxias do Sul'!AM8*2+'Base Caxias do Sul'!AN8</f>
        <v>8925.11553514596</v>
      </c>
      <c r="G6" s="263" t="n">
        <v>0.025</v>
      </c>
      <c r="H6" s="274" t="n">
        <f aca="false">SUMIF(C$5:C$35,G6,D$5:D$35)</f>
        <v>45435.1174909773</v>
      </c>
      <c r="I6" s="274" t="n">
        <f aca="false">SUMIF(C$5:C$35,G6,E$5:E$35)</f>
        <v>55830.672372913</v>
      </c>
      <c r="J6" s="274" t="n">
        <f aca="false">H6*4</f>
        <v>181740.469963909</v>
      </c>
      <c r="K6" s="274" t="n">
        <f aca="false">I6*4</f>
        <v>223322.689491652</v>
      </c>
      <c r="L6" s="275" t="n">
        <f aca="false">H6/H$13</f>
        <v>0.140727351903988</v>
      </c>
      <c r="M6" s="275" t="n">
        <f aca="false">I6/I$13</f>
        <v>0.140380646822747</v>
      </c>
    </row>
    <row r="7" customFormat="false" ht="15" hidden="false" customHeight="true" outlineLevel="0" collapsed="false">
      <c r="B7" s="118" t="str">
        <f aca="false">'Base Caxias do Sul'!B9</f>
        <v>ARQUIVO RUA MARQUÊS DO HERVAL</v>
      </c>
      <c r="C7" s="272" t="n">
        <f aca="false">VLOOKUP(B7,Unidades!$D$5:$G$35,4,)</f>
        <v>0.04</v>
      </c>
      <c r="D7" s="273" t="n">
        <f aca="false">'Base Caxias do Sul'!AD9*12+'Base Caxias do Sul'!AE9*4+'Base Caxias do Sul'!AF9*2+'Base Caxias do Sul'!AG9</f>
        <v>7362.86614153931</v>
      </c>
      <c r="E7" s="273" t="n">
        <f aca="false">'Base Caxias do Sul'!AK9*12+'Base Caxias do Sul'!AL9*4+'Base Caxias do Sul'!AM9*2+'Base Caxias do Sul'!AN9</f>
        <v>9194.01095094013</v>
      </c>
      <c r="G7" s="263" t="n">
        <v>0.03</v>
      </c>
      <c r="H7" s="274" t="n">
        <f aca="false">SUMIF(C$5:C$35,G7,D$5:D$35)</f>
        <v>107779.106868737</v>
      </c>
      <c r="I7" s="274" t="n">
        <f aca="false">SUMIF(C$5:C$35,G7,E$5:E$35)</f>
        <v>133150.308625637</v>
      </c>
      <c r="J7" s="274" t="n">
        <f aca="false">H7*4</f>
        <v>431116.427474947</v>
      </c>
      <c r="K7" s="274" t="n">
        <f aca="false">I7*4</f>
        <v>532601.234502549</v>
      </c>
      <c r="L7" s="275" t="n">
        <f aca="false">H7/H$13</f>
        <v>0.333826985331912</v>
      </c>
      <c r="M7" s="275" t="n">
        <f aca="false">I7/I$13</f>
        <v>0.334793146044644</v>
      </c>
    </row>
    <row r="8" s="29" customFormat="true" ht="15" hidden="false" customHeight="true" outlineLevel="0" collapsed="false">
      <c r="B8" s="118" t="str">
        <f aca="false">'Base Caxias do Sul'!B10</f>
        <v>APS FLORES DA CUNHA</v>
      </c>
      <c r="C8" s="272" t="n">
        <f aca="false">VLOOKUP(B8,Unidades!$D$5:$G$35,4,)</f>
        <v>0.02</v>
      </c>
      <c r="D8" s="273" t="n">
        <f aca="false">'Base Caxias do Sul'!AD10*12+'Base Caxias do Sul'!AE10*4+'Base Caxias do Sul'!AF10*2+'Base Caxias do Sul'!AG10</f>
        <v>7362.86614153931</v>
      </c>
      <c r="E8" s="273" t="n">
        <f aca="false">'Base Caxias do Sul'!AK10*12+'Base Caxias do Sul'!AL10*4+'Base Caxias do Sul'!AM10*2+'Base Caxias do Sul'!AN10</f>
        <v>8999.6312848035</v>
      </c>
      <c r="F8" s="17"/>
      <c r="G8" s="263" t="n">
        <v>0.035</v>
      </c>
      <c r="H8" s="274" t="n">
        <f aca="false">SUMIF(C$5:C$35,G8,D$5:D$35)</f>
        <v>0</v>
      </c>
      <c r="I8" s="274" t="n">
        <f aca="false">SUMIF(C$5:C$35,G8,E$5:E$35)</f>
        <v>0</v>
      </c>
      <c r="J8" s="274" t="n">
        <f aca="false">H8*4</f>
        <v>0</v>
      </c>
      <c r="K8" s="274" t="n">
        <f aca="false">I8*4</f>
        <v>0</v>
      </c>
      <c r="L8" s="275" t="n">
        <f aca="false">H8/H$13</f>
        <v>0</v>
      </c>
      <c r="M8" s="275" t="n">
        <f aca="false">I8/I$13</f>
        <v>0</v>
      </c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</row>
    <row r="9" customFormat="false" ht="15" hidden="false" customHeight="true" outlineLevel="0" collapsed="false">
      <c r="A9" s="29"/>
      <c r="B9" s="118" t="str">
        <f aca="false">'Base Caxias do Sul'!B11</f>
        <v>APS CARLOS BARBOSA</v>
      </c>
      <c r="C9" s="272" t="n">
        <f aca="false">VLOOKUP(B9,Unidades!$D$5:$G$35,4,)</f>
        <v>0.05</v>
      </c>
      <c r="D9" s="273" t="n">
        <f aca="false">'Base Caxias do Sul'!AD11*12+'Base Caxias do Sul'!AE11*4+'Base Caxias do Sul'!AF11*2+'Base Caxias do Sul'!AG11</f>
        <v>8081.63084713931</v>
      </c>
      <c r="E9" s="273" t="n">
        <f aca="false">'Base Caxias do Sul'!AK11*12+'Base Caxias do Sul'!AL11*4+'Base Caxias do Sul'!AM11*2+'Base Caxias do Sul'!AN11</f>
        <v>10202.2507814287</v>
      </c>
      <c r="F9" s="29"/>
      <c r="G9" s="263" t="n">
        <v>0.04</v>
      </c>
      <c r="H9" s="274" t="n">
        <f aca="false">SUMIF(C$5:C$35,G9,D$5:D$35)</f>
        <v>39662.8405535935</v>
      </c>
      <c r="I9" s="274" t="n">
        <f aca="false">SUMIF(C$5:C$35,G9,E$5:E$35)</f>
        <v>49526.9889992722</v>
      </c>
      <c r="J9" s="274" t="n">
        <f aca="false">H9*4</f>
        <v>158651.362214374</v>
      </c>
      <c r="K9" s="274" t="n">
        <f aca="false">I9*4</f>
        <v>198107.955997089</v>
      </c>
      <c r="L9" s="275" t="n">
        <f aca="false">H9/H$13</f>
        <v>0.122848730856825</v>
      </c>
      <c r="M9" s="275" t="n">
        <f aca="false">I9/I$13</f>
        <v>0.124530664872918</v>
      </c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34"/>
      <c r="IP9" s="29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29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29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29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29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29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29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29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29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29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29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29"/>
      <c r="NS9" s="29"/>
      <c r="NT9" s="29"/>
      <c r="NU9" s="29"/>
      <c r="NV9" s="29"/>
      <c r="NW9" s="29"/>
      <c r="NX9" s="29"/>
      <c r="NY9" s="29"/>
      <c r="NZ9" s="29"/>
      <c r="OA9" s="29"/>
      <c r="OB9" s="29"/>
      <c r="OC9" s="29"/>
      <c r="OD9" s="29"/>
      <c r="OE9" s="29"/>
      <c r="OF9" s="29"/>
      <c r="OG9" s="29"/>
      <c r="OH9" s="29"/>
      <c r="OI9" s="29"/>
      <c r="OJ9" s="29"/>
      <c r="OK9" s="29"/>
      <c r="OL9" s="29"/>
      <c r="OM9" s="29"/>
      <c r="ON9" s="29"/>
      <c r="OO9" s="29"/>
      <c r="OP9" s="29"/>
      <c r="OQ9" s="29"/>
      <c r="OR9" s="29"/>
      <c r="OS9" s="29"/>
      <c r="OT9" s="29"/>
      <c r="OU9" s="29"/>
      <c r="OV9" s="29"/>
      <c r="OW9" s="29"/>
      <c r="OX9" s="29"/>
      <c r="OY9" s="29"/>
      <c r="OZ9" s="29"/>
      <c r="PA9" s="29"/>
      <c r="PB9" s="29"/>
      <c r="PC9" s="29"/>
      <c r="PD9" s="29"/>
      <c r="PE9" s="29"/>
      <c r="PF9" s="29"/>
      <c r="PG9" s="29"/>
      <c r="PH9" s="29"/>
      <c r="PI9" s="29"/>
      <c r="PJ9" s="29"/>
      <c r="PK9" s="29"/>
      <c r="PL9" s="29"/>
      <c r="PM9" s="29"/>
      <c r="PN9" s="29"/>
      <c r="PO9" s="29"/>
      <c r="PP9" s="29"/>
      <c r="PQ9" s="29"/>
      <c r="PR9" s="29"/>
      <c r="PS9" s="29"/>
      <c r="PT9" s="29"/>
      <c r="PU9" s="29"/>
      <c r="PV9" s="29"/>
      <c r="PW9" s="29"/>
      <c r="PX9" s="29"/>
      <c r="PY9" s="29"/>
      <c r="PZ9" s="29"/>
      <c r="QA9" s="29"/>
      <c r="QB9" s="29"/>
      <c r="QC9" s="29"/>
      <c r="QD9" s="29"/>
      <c r="QE9" s="29"/>
      <c r="QF9" s="29"/>
      <c r="QG9" s="29"/>
      <c r="QH9" s="29"/>
      <c r="QI9" s="29"/>
      <c r="QJ9" s="29"/>
      <c r="QK9" s="29"/>
      <c r="QL9" s="29"/>
      <c r="QM9" s="29"/>
      <c r="QN9" s="29"/>
      <c r="QO9" s="29"/>
      <c r="QP9" s="29"/>
      <c r="QQ9" s="29"/>
      <c r="QR9" s="29"/>
      <c r="QS9" s="29"/>
      <c r="QT9" s="29"/>
      <c r="QU9" s="29"/>
      <c r="QV9" s="29"/>
      <c r="QW9" s="29"/>
      <c r="QX9" s="29"/>
      <c r="QY9" s="29"/>
      <c r="QZ9" s="29"/>
      <c r="RA9" s="29"/>
      <c r="RB9" s="29"/>
      <c r="RC9" s="29"/>
      <c r="RD9" s="29"/>
      <c r="RE9" s="29"/>
      <c r="RF9" s="29"/>
      <c r="RG9" s="29"/>
      <c r="RH9" s="29"/>
      <c r="RI9" s="29"/>
      <c r="RJ9" s="29"/>
      <c r="RK9" s="29"/>
      <c r="RL9" s="29"/>
      <c r="RM9" s="29"/>
      <c r="RN9" s="29"/>
      <c r="RO9" s="29"/>
      <c r="RP9" s="29"/>
      <c r="RQ9" s="29"/>
      <c r="RR9" s="29"/>
      <c r="RS9" s="29"/>
      <c r="RT9" s="29"/>
      <c r="RU9" s="29"/>
      <c r="RV9" s="29"/>
      <c r="RW9" s="29"/>
      <c r="RX9" s="29"/>
      <c r="RY9" s="29"/>
      <c r="RZ9" s="29"/>
      <c r="SA9" s="29"/>
      <c r="SB9" s="29"/>
      <c r="SC9" s="29"/>
      <c r="SD9" s="29"/>
      <c r="SE9" s="29"/>
      <c r="SF9" s="29"/>
      <c r="SG9" s="29"/>
      <c r="SH9" s="29"/>
      <c r="SI9" s="29"/>
      <c r="SJ9" s="29"/>
      <c r="SK9" s="29"/>
      <c r="SL9" s="29"/>
      <c r="SM9" s="29"/>
      <c r="SN9" s="29"/>
      <c r="SO9" s="29"/>
      <c r="SP9" s="29"/>
      <c r="SQ9" s="29"/>
      <c r="SR9" s="29"/>
      <c r="SS9" s="29"/>
      <c r="ST9" s="29"/>
      <c r="SU9" s="29"/>
      <c r="SV9" s="29"/>
      <c r="SW9" s="29"/>
      <c r="SX9" s="29"/>
      <c r="SY9" s="29"/>
      <c r="SZ9" s="29"/>
      <c r="TA9" s="29"/>
      <c r="TB9" s="29"/>
      <c r="TC9" s="29"/>
      <c r="TD9" s="29"/>
      <c r="TE9" s="29"/>
      <c r="TF9" s="29"/>
      <c r="TG9" s="29"/>
      <c r="TH9" s="29"/>
      <c r="TI9" s="29"/>
      <c r="TJ9" s="29"/>
      <c r="TK9" s="29"/>
      <c r="TL9" s="29"/>
      <c r="TM9" s="29"/>
      <c r="TN9" s="29"/>
      <c r="TO9" s="29"/>
      <c r="TP9" s="29"/>
      <c r="TQ9" s="29"/>
      <c r="TR9" s="29"/>
      <c r="TS9" s="29"/>
      <c r="TT9" s="29"/>
      <c r="TU9" s="29"/>
      <c r="TV9" s="29"/>
      <c r="TW9" s="29"/>
      <c r="TX9" s="29"/>
      <c r="TY9" s="29"/>
      <c r="TZ9" s="29"/>
      <c r="UA9" s="29"/>
      <c r="UB9" s="29"/>
      <c r="UC9" s="29"/>
      <c r="UD9" s="29"/>
      <c r="UE9" s="29"/>
      <c r="UF9" s="29"/>
      <c r="UG9" s="29"/>
      <c r="UH9" s="29"/>
      <c r="UI9" s="29"/>
      <c r="UJ9" s="29"/>
      <c r="UK9" s="29"/>
      <c r="UL9" s="29"/>
      <c r="UM9" s="29"/>
      <c r="UN9" s="29"/>
      <c r="UO9" s="29"/>
      <c r="UP9" s="29"/>
      <c r="UQ9" s="29"/>
      <c r="UR9" s="29"/>
      <c r="US9" s="29"/>
      <c r="UT9" s="29"/>
      <c r="UU9" s="29"/>
      <c r="UV9" s="29"/>
      <c r="UW9" s="29"/>
      <c r="UX9" s="29"/>
      <c r="UY9" s="29"/>
      <c r="UZ9" s="29"/>
      <c r="VA9" s="29"/>
      <c r="VB9" s="29"/>
      <c r="VC9" s="29"/>
      <c r="VD9" s="29"/>
      <c r="VE9" s="29"/>
      <c r="VF9" s="29"/>
      <c r="VG9" s="29"/>
      <c r="VH9" s="29"/>
      <c r="VI9" s="29"/>
      <c r="VJ9" s="29"/>
      <c r="VK9" s="29"/>
      <c r="VL9" s="29"/>
      <c r="VM9" s="29"/>
      <c r="VN9" s="29"/>
      <c r="VO9" s="29"/>
      <c r="VP9" s="29"/>
      <c r="VQ9" s="29"/>
      <c r="VR9" s="29"/>
      <c r="VS9" s="29"/>
      <c r="VT9" s="29"/>
      <c r="VU9" s="29"/>
      <c r="VV9" s="29"/>
      <c r="VW9" s="29"/>
      <c r="VX9" s="29"/>
      <c r="VY9" s="29"/>
      <c r="VZ9" s="29"/>
      <c r="WA9" s="29"/>
      <c r="WB9" s="29"/>
      <c r="WC9" s="29"/>
      <c r="WD9" s="29"/>
      <c r="WE9" s="29"/>
      <c r="WF9" s="29"/>
      <c r="WG9" s="29"/>
      <c r="WH9" s="29"/>
      <c r="WI9" s="29"/>
      <c r="WJ9" s="29"/>
      <c r="WK9" s="29"/>
      <c r="WL9" s="29"/>
      <c r="WM9" s="29"/>
      <c r="WN9" s="29"/>
      <c r="WO9" s="29"/>
      <c r="WP9" s="29"/>
      <c r="WQ9" s="29"/>
      <c r="WR9" s="29"/>
      <c r="WS9" s="29"/>
      <c r="WT9" s="29"/>
      <c r="WU9" s="29"/>
      <c r="WV9" s="29"/>
      <c r="WW9" s="29"/>
      <c r="WX9" s="29"/>
      <c r="WY9" s="29"/>
      <c r="WZ9" s="29"/>
      <c r="XA9" s="29"/>
      <c r="XB9" s="29"/>
      <c r="XC9" s="29"/>
      <c r="XD9" s="29"/>
      <c r="XE9" s="29"/>
      <c r="XF9" s="29"/>
      <c r="XG9" s="29"/>
      <c r="XH9" s="29"/>
      <c r="XI9" s="29"/>
      <c r="XJ9" s="29"/>
      <c r="XK9" s="29"/>
      <c r="XL9" s="29"/>
      <c r="XM9" s="29"/>
      <c r="XN9" s="29"/>
      <c r="XO9" s="29"/>
      <c r="XP9" s="29"/>
      <c r="XQ9" s="29"/>
      <c r="XR9" s="29"/>
      <c r="XS9" s="29"/>
      <c r="XT9" s="29"/>
      <c r="XU9" s="29"/>
      <c r="XV9" s="29"/>
      <c r="XW9" s="29"/>
      <c r="XX9" s="29"/>
      <c r="XY9" s="29"/>
      <c r="XZ9" s="29"/>
      <c r="YA9" s="29"/>
      <c r="YB9" s="29"/>
      <c r="YC9" s="29"/>
      <c r="YD9" s="29"/>
      <c r="YE9" s="29"/>
      <c r="YF9" s="29"/>
      <c r="YG9" s="29"/>
      <c r="YH9" s="29"/>
      <c r="YI9" s="29"/>
      <c r="YJ9" s="29"/>
      <c r="YK9" s="29"/>
      <c r="YL9" s="29"/>
      <c r="YM9" s="29"/>
      <c r="YN9" s="29"/>
      <c r="YO9" s="29"/>
      <c r="YP9" s="29"/>
      <c r="YQ9" s="29"/>
      <c r="YR9" s="29"/>
      <c r="YS9" s="29"/>
      <c r="YT9" s="29"/>
      <c r="YU9" s="29"/>
      <c r="YV9" s="29"/>
      <c r="YW9" s="29"/>
      <c r="YX9" s="29"/>
      <c r="YY9" s="29"/>
      <c r="YZ9" s="29"/>
      <c r="ZA9" s="29"/>
      <c r="ZB9" s="29"/>
      <c r="ZC9" s="29"/>
      <c r="ZD9" s="29"/>
      <c r="ZE9" s="29"/>
      <c r="ZF9" s="29"/>
      <c r="ZG9" s="29"/>
      <c r="ZH9" s="29"/>
      <c r="ZI9" s="29"/>
      <c r="ZJ9" s="29"/>
      <c r="ZK9" s="29"/>
      <c r="ZL9" s="29"/>
      <c r="ZM9" s="29"/>
      <c r="ZN9" s="29"/>
      <c r="ZO9" s="29"/>
      <c r="ZP9" s="29"/>
      <c r="ZQ9" s="29"/>
      <c r="ZR9" s="29"/>
      <c r="ZS9" s="29"/>
      <c r="ZT9" s="29"/>
      <c r="ZU9" s="29"/>
      <c r="ZV9" s="29"/>
      <c r="ZW9" s="29"/>
      <c r="ZX9" s="29"/>
      <c r="ZY9" s="29"/>
      <c r="ZZ9" s="29"/>
      <c r="AAA9" s="29"/>
      <c r="AAB9" s="29"/>
      <c r="AAC9" s="29"/>
      <c r="AAD9" s="29"/>
      <c r="AAE9" s="29"/>
      <c r="AAF9" s="29"/>
      <c r="AAG9" s="29"/>
      <c r="AAH9" s="29"/>
      <c r="AAI9" s="29"/>
      <c r="AAJ9" s="29"/>
      <c r="AAK9" s="29"/>
      <c r="AAL9" s="29"/>
      <c r="AAM9" s="29"/>
      <c r="AAN9" s="29"/>
      <c r="AAO9" s="29"/>
      <c r="AAP9" s="29"/>
      <c r="AAQ9" s="29"/>
      <c r="AAR9" s="29"/>
      <c r="AAS9" s="29"/>
      <c r="AAT9" s="29"/>
      <c r="AAU9" s="29"/>
      <c r="AAV9" s="29"/>
      <c r="AAW9" s="29"/>
      <c r="AAX9" s="29"/>
      <c r="AAY9" s="29"/>
      <c r="AAZ9" s="29"/>
      <c r="ABA9" s="29"/>
      <c r="ABB9" s="29"/>
      <c r="ABC9" s="29"/>
      <c r="ABD9" s="29"/>
      <c r="ABE9" s="29"/>
      <c r="ABF9" s="29"/>
      <c r="ABG9" s="29"/>
      <c r="ABH9" s="29"/>
      <c r="ABI9" s="29"/>
      <c r="ABJ9" s="29"/>
      <c r="ABK9" s="29"/>
      <c r="ABL9" s="29"/>
      <c r="ABM9" s="29"/>
      <c r="ABN9" s="29"/>
      <c r="ABO9" s="29"/>
      <c r="ABP9" s="29"/>
      <c r="ABQ9" s="29"/>
      <c r="ABR9" s="29"/>
      <c r="ABS9" s="29"/>
      <c r="ABT9" s="29"/>
      <c r="ABU9" s="29"/>
      <c r="ABV9" s="29"/>
      <c r="ABW9" s="29"/>
      <c r="ABX9" s="29"/>
      <c r="ABY9" s="29"/>
      <c r="ABZ9" s="29"/>
      <c r="ACA9" s="29"/>
      <c r="ACB9" s="29"/>
      <c r="ACC9" s="29"/>
      <c r="ACD9" s="29"/>
      <c r="ACE9" s="29"/>
      <c r="ACF9" s="29"/>
      <c r="ACG9" s="29"/>
      <c r="ACH9" s="29"/>
      <c r="ACI9" s="29"/>
      <c r="ACJ9" s="29"/>
      <c r="ACK9" s="29"/>
      <c r="ACL9" s="29"/>
      <c r="ACM9" s="29"/>
      <c r="ACN9" s="29"/>
      <c r="ACO9" s="29"/>
      <c r="ACP9" s="29"/>
      <c r="ACQ9" s="29"/>
      <c r="ACR9" s="29"/>
      <c r="ACS9" s="29"/>
      <c r="ACT9" s="29"/>
      <c r="ACU9" s="29"/>
      <c r="ACV9" s="29"/>
      <c r="ACW9" s="29"/>
      <c r="ACX9" s="29"/>
      <c r="ACY9" s="29"/>
      <c r="ACZ9" s="29"/>
      <c r="ADA9" s="29"/>
      <c r="ADB9" s="29"/>
      <c r="ADC9" s="29"/>
      <c r="ADD9" s="29"/>
      <c r="ADE9" s="29"/>
      <c r="ADF9" s="29"/>
      <c r="ADG9" s="29"/>
      <c r="ADH9" s="29"/>
      <c r="ADI9" s="29"/>
      <c r="ADJ9" s="29"/>
      <c r="ADK9" s="29"/>
      <c r="ADL9" s="29"/>
      <c r="ADM9" s="29"/>
      <c r="ADN9" s="29"/>
      <c r="ADO9" s="29"/>
      <c r="ADP9" s="29"/>
      <c r="ADQ9" s="29"/>
      <c r="ADR9" s="29"/>
      <c r="ADS9" s="29"/>
      <c r="ADT9" s="29"/>
      <c r="ADU9" s="29"/>
      <c r="ADV9" s="29"/>
      <c r="ADW9" s="29"/>
      <c r="ADX9" s="29"/>
      <c r="ADY9" s="29"/>
      <c r="ADZ9" s="29"/>
      <c r="AEA9" s="29"/>
      <c r="AEB9" s="29"/>
      <c r="AEC9" s="29"/>
      <c r="AED9" s="29"/>
      <c r="AEE9" s="29"/>
      <c r="AEF9" s="29"/>
      <c r="AEG9" s="29"/>
      <c r="AEH9" s="29"/>
      <c r="AEI9" s="29"/>
      <c r="AEJ9" s="29"/>
      <c r="AEK9" s="29"/>
      <c r="AEL9" s="29"/>
      <c r="AEM9" s="29"/>
      <c r="AEN9" s="29"/>
      <c r="AEO9" s="29"/>
      <c r="AEP9" s="29"/>
      <c r="AEQ9" s="29"/>
      <c r="AER9" s="29"/>
      <c r="AES9" s="29"/>
      <c r="AET9" s="29"/>
      <c r="AEU9" s="29"/>
      <c r="AEV9" s="29"/>
      <c r="AEW9" s="29"/>
      <c r="AEX9" s="29"/>
      <c r="AEY9" s="29"/>
      <c r="AEZ9" s="29"/>
      <c r="AFA9" s="29"/>
      <c r="AFB9" s="29"/>
      <c r="AFC9" s="29"/>
      <c r="AFD9" s="29"/>
      <c r="AFE9" s="29"/>
      <c r="AFF9" s="29"/>
      <c r="AFG9" s="29"/>
      <c r="AFH9" s="29"/>
      <c r="AFI9" s="29"/>
      <c r="AFJ9" s="29"/>
      <c r="AFK9" s="29"/>
      <c r="AFL9" s="29"/>
      <c r="AFM9" s="29"/>
      <c r="AFN9" s="29"/>
      <c r="AFO9" s="29"/>
      <c r="AFP9" s="29"/>
      <c r="AFQ9" s="29"/>
      <c r="AFR9" s="29"/>
      <c r="AFS9" s="29"/>
      <c r="AFT9" s="29"/>
      <c r="AFU9" s="29"/>
      <c r="AFV9" s="29"/>
      <c r="AFW9" s="29"/>
      <c r="AFX9" s="29"/>
      <c r="AFY9" s="29"/>
      <c r="AFZ9" s="29"/>
      <c r="AGA9" s="29"/>
      <c r="AGB9" s="29"/>
      <c r="AGC9" s="29"/>
      <c r="AGD9" s="29"/>
      <c r="AGE9" s="29"/>
      <c r="AGF9" s="29"/>
      <c r="AGG9" s="29"/>
      <c r="AGH9" s="29"/>
      <c r="AGI9" s="29"/>
      <c r="AGJ9" s="29"/>
      <c r="AGK9" s="29"/>
      <c r="AGL9" s="29"/>
      <c r="AGM9" s="29"/>
      <c r="AGN9" s="29"/>
      <c r="AGO9" s="29"/>
      <c r="AGP9" s="29"/>
      <c r="AGQ9" s="29"/>
      <c r="AGR9" s="29"/>
      <c r="AGS9" s="29"/>
      <c r="AGT9" s="29"/>
      <c r="AGU9" s="29"/>
      <c r="AGV9" s="29"/>
      <c r="AGW9" s="29"/>
      <c r="AGX9" s="29"/>
      <c r="AGY9" s="29"/>
      <c r="AGZ9" s="29"/>
      <c r="AHA9" s="29"/>
      <c r="AHB9" s="29"/>
      <c r="AHC9" s="29"/>
      <c r="AHD9" s="29"/>
      <c r="AHE9" s="29"/>
      <c r="AHF9" s="29"/>
      <c r="AHG9" s="29"/>
      <c r="AHH9" s="29"/>
      <c r="AHI9" s="29"/>
      <c r="AHJ9" s="29"/>
      <c r="AHK9" s="29"/>
      <c r="AHL9" s="29"/>
      <c r="AHM9" s="29"/>
      <c r="AHN9" s="29"/>
      <c r="AHO9" s="29"/>
      <c r="AHP9" s="29"/>
      <c r="AHQ9" s="29"/>
      <c r="AHR9" s="29"/>
      <c r="AHS9" s="29"/>
      <c r="AHT9" s="29"/>
      <c r="AHU9" s="29"/>
      <c r="AHV9" s="29"/>
      <c r="AHW9" s="29"/>
      <c r="AHX9" s="29"/>
      <c r="AHY9" s="29"/>
      <c r="AHZ9" s="29"/>
      <c r="AIA9" s="29"/>
      <c r="AIB9" s="29"/>
      <c r="AIC9" s="29"/>
      <c r="AID9" s="29"/>
      <c r="AIE9" s="29"/>
      <c r="AIF9" s="29"/>
      <c r="AIG9" s="29"/>
      <c r="AIH9" s="29"/>
      <c r="AII9" s="29"/>
      <c r="AIJ9" s="29"/>
      <c r="AIK9" s="29"/>
      <c r="AIL9" s="29"/>
      <c r="AIM9" s="29"/>
      <c r="AIN9" s="29"/>
      <c r="AIO9" s="29"/>
      <c r="AIP9" s="29"/>
      <c r="AIQ9" s="29"/>
      <c r="AIR9" s="29"/>
      <c r="AIS9" s="29"/>
      <c r="AIT9" s="29"/>
      <c r="AIU9" s="29"/>
      <c r="AIV9" s="29"/>
      <c r="AIW9" s="29"/>
      <c r="AIX9" s="29"/>
      <c r="AIY9" s="29"/>
      <c r="AIZ9" s="29"/>
      <c r="AJA9" s="29"/>
      <c r="AJB9" s="29"/>
      <c r="AJC9" s="29"/>
      <c r="AJD9" s="29"/>
      <c r="AJE9" s="29"/>
      <c r="AJF9" s="29"/>
      <c r="AJG9" s="29"/>
      <c r="AJH9" s="29"/>
      <c r="AJI9" s="29"/>
      <c r="AJJ9" s="29"/>
      <c r="AJK9" s="29"/>
      <c r="AJL9" s="29"/>
      <c r="AJM9" s="29"/>
      <c r="AJN9" s="29"/>
      <c r="AJO9" s="29"/>
      <c r="AJP9" s="29"/>
      <c r="AJQ9" s="29"/>
      <c r="AJR9" s="29"/>
      <c r="AJS9" s="29"/>
      <c r="AJT9" s="29"/>
      <c r="AJU9" s="29"/>
      <c r="AJV9" s="29"/>
      <c r="AJW9" s="29"/>
      <c r="AJX9" s="29"/>
      <c r="AJY9" s="29"/>
      <c r="AJZ9" s="29"/>
      <c r="AKA9" s="29"/>
      <c r="AKB9" s="29"/>
      <c r="AKC9" s="29"/>
      <c r="AKD9" s="29"/>
      <c r="AKE9" s="29"/>
      <c r="AKF9" s="29"/>
      <c r="AKG9" s="29"/>
      <c r="AKH9" s="29"/>
      <c r="AKI9" s="29"/>
      <c r="AKJ9" s="29"/>
      <c r="AKK9" s="29"/>
      <c r="AKL9" s="29"/>
      <c r="AKM9" s="29"/>
      <c r="AKN9" s="29"/>
      <c r="AKO9" s="29"/>
      <c r="AKP9" s="29"/>
      <c r="AKQ9" s="29"/>
      <c r="AKR9" s="29"/>
      <c r="AKS9" s="29"/>
      <c r="AKT9" s="29"/>
      <c r="AKU9" s="29"/>
      <c r="AKV9" s="29"/>
      <c r="AKW9" s="29"/>
      <c r="AKX9" s="29"/>
      <c r="AKY9" s="29"/>
      <c r="AKZ9" s="29"/>
      <c r="ALA9" s="29"/>
      <c r="ALB9" s="29"/>
      <c r="ALC9" s="29"/>
      <c r="ALD9" s="29"/>
      <c r="ALE9" s="29"/>
      <c r="ALF9" s="29"/>
      <c r="ALG9" s="29"/>
      <c r="ALH9" s="29"/>
      <c r="ALI9" s="29"/>
      <c r="ALJ9" s="29"/>
      <c r="ALK9" s="29"/>
      <c r="ALL9" s="29"/>
      <c r="ALM9" s="29"/>
      <c r="ALN9" s="29"/>
      <c r="ALO9" s="29"/>
      <c r="ALP9" s="29"/>
      <c r="ALQ9" s="29"/>
      <c r="ALR9" s="29"/>
      <c r="ALS9" s="29"/>
      <c r="ALT9" s="29"/>
      <c r="ALU9" s="29"/>
      <c r="ALV9" s="29"/>
      <c r="ALW9" s="29"/>
      <c r="ALX9" s="29"/>
      <c r="ALY9" s="29"/>
      <c r="ALZ9" s="29"/>
      <c r="AMA9" s="29"/>
      <c r="AMB9" s="29"/>
      <c r="AMC9" s="29"/>
      <c r="AMD9" s="29"/>
    </row>
    <row r="10" s="17" customFormat="true" ht="15" hidden="false" customHeight="true" outlineLevel="0" collapsed="false">
      <c r="A10" s="29"/>
      <c r="B10" s="118" t="str">
        <f aca="false">'Base Caxias do Sul'!B12</f>
        <v>APS GARIBALDI</v>
      </c>
      <c r="C10" s="272" t="n">
        <f aca="false">VLOOKUP(B10,Unidades!$D$5:$G$35,4,)</f>
        <v>0.03</v>
      </c>
      <c r="D10" s="273" t="n">
        <f aca="false">'Base Caxias do Sul'!AD12*12+'Base Caxias do Sul'!AE12*4+'Base Caxias do Sul'!AF12*2+'Base Caxias do Sul'!AG12</f>
        <v>8081.63084713931</v>
      </c>
      <c r="E10" s="273" t="n">
        <f aca="false">'Base Caxias do Sul'!AK12*12+'Base Caxias do Sul'!AL12*4+'Base Caxias do Sul'!AM12*2+'Base Caxias do Sul'!AN12</f>
        <v>9984.0467485559</v>
      </c>
      <c r="F10" s="29"/>
      <c r="G10" s="263" t="n">
        <v>0.045</v>
      </c>
      <c r="H10" s="274" t="n">
        <f aca="false">SUMIF(C$5:C$35,G10,D$5:D$35)</f>
        <v>0</v>
      </c>
      <c r="I10" s="274" t="n">
        <f aca="false">SUMIF(C$5:C$35,G10,E$5:E$35)</f>
        <v>0</v>
      </c>
      <c r="J10" s="274" t="n">
        <f aca="false">H10*4</f>
        <v>0</v>
      </c>
      <c r="K10" s="274" t="n">
        <f aca="false">I10*4</f>
        <v>0</v>
      </c>
      <c r="L10" s="275" t="n">
        <f aca="false">H10/H$13</f>
        <v>0</v>
      </c>
      <c r="M10" s="275" t="n">
        <f aca="false">I10/I$13</f>
        <v>0</v>
      </c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34"/>
      <c r="IP10" s="29"/>
      <c r="IQ10" s="29"/>
      <c r="IR10" s="29"/>
      <c r="IS10" s="29"/>
      <c r="IT10" s="29"/>
      <c r="IU10" s="29"/>
      <c r="IV10" s="29"/>
      <c r="IW10" s="29"/>
      <c r="IX10" s="29"/>
      <c r="IY10" s="29"/>
      <c r="IZ10" s="29"/>
      <c r="JA10" s="29"/>
      <c r="JB10" s="29"/>
      <c r="JC10" s="29"/>
      <c r="JD10" s="29"/>
      <c r="JE10" s="29"/>
      <c r="JF10" s="29"/>
      <c r="JG10" s="29"/>
      <c r="JH10" s="29"/>
      <c r="JI10" s="29"/>
      <c r="JJ10" s="29"/>
      <c r="JK10" s="29"/>
      <c r="JL10" s="29"/>
      <c r="JM10" s="29"/>
      <c r="JN10" s="29"/>
      <c r="JO10" s="29"/>
      <c r="JP10" s="29"/>
      <c r="JQ10" s="29"/>
      <c r="JR10" s="29"/>
      <c r="JS10" s="29"/>
      <c r="JT10" s="29"/>
      <c r="JU10" s="29"/>
      <c r="JV10" s="29"/>
      <c r="JW10" s="29"/>
      <c r="JX10" s="29"/>
      <c r="JY10" s="29"/>
      <c r="JZ10" s="29"/>
      <c r="KA10" s="29"/>
      <c r="KB10" s="29"/>
      <c r="KC10" s="29"/>
      <c r="KD10" s="29"/>
      <c r="KE10" s="29"/>
      <c r="KF10" s="29"/>
      <c r="KG10" s="29"/>
      <c r="KH10" s="29"/>
      <c r="KI10" s="29"/>
      <c r="KJ10" s="29"/>
      <c r="KK10" s="29"/>
      <c r="KL10" s="29"/>
      <c r="KM10" s="29"/>
      <c r="KN10" s="29"/>
      <c r="KO10" s="29"/>
      <c r="KP10" s="29"/>
      <c r="KQ10" s="29"/>
      <c r="KR10" s="29"/>
      <c r="KS10" s="29"/>
      <c r="KT10" s="29"/>
      <c r="KU10" s="29"/>
      <c r="KV10" s="29"/>
      <c r="KW10" s="29"/>
      <c r="KX10" s="29"/>
      <c r="KY10" s="29"/>
      <c r="KZ10" s="29"/>
      <c r="LA10" s="29"/>
      <c r="LB10" s="29"/>
      <c r="LC10" s="29"/>
      <c r="LD10" s="29"/>
      <c r="LE10" s="29"/>
      <c r="LF10" s="29"/>
      <c r="LG10" s="29"/>
      <c r="LH10" s="29"/>
      <c r="LI10" s="29"/>
      <c r="LJ10" s="29"/>
      <c r="LK10" s="29"/>
      <c r="LL10" s="29"/>
      <c r="LM10" s="29"/>
      <c r="LN10" s="29"/>
      <c r="LO10" s="29"/>
      <c r="LP10" s="29"/>
      <c r="LQ10" s="29"/>
      <c r="LR10" s="29"/>
      <c r="LS10" s="29"/>
      <c r="LT10" s="29"/>
      <c r="LU10" s="29"/>
      <c r="LV10" s="29"/>
      <c r="LW10" s="29"/>
      <c r="LX10" s="29"/>
      <c r="LY10" s="29"/>
      <c r="LZ10" s="29"/>
      <c r="MA10" s="29"/>
      <c r="MB10" s="29"/>
      <c r="MC10" s="29"/>
      <c r="MD10" s="29"/>
      <c r="ME10" s="29"/>
      <c r="MF10" s="29"/>
      <c r="MG10" s="29"/>
      <c r="MH10" s="29"/>
      <c r="MI10" s="29"/>
      <c r="MJ10" s="29"/>
      <c r="MK10" s="29"/>
      <c r="ML10" s="29"/>
      <c r="MM10" s="29"/>
      <c r="MN10" s="29"/>
      <c r="MO10" s="29"/>
      <c r="MP10" s="29"/>
      <c r="MQ10" s="29"/>
      <c r="MR10" s="29"/>
      <c r="MS10" s="29"/>
      <c r="MT10" s="29"/>
      <c r="MU10" s="29"/>
      <c r="MV10" s="29"/>
      <c r="MW10" s="29"/>
      <c r="MX10" s="29"/>
      <c r="MY10" s="29"/>
      <c r="MZ10" s="29"/>
      <c r="NA10" s="29"/>
      <c r="NB10" s="29"/>
      <c r="NC10" s="29"/>
      <c r="ND10" s="29"/>
      <c r="NE10" s="29"/>
      <c r="NF10" s="29"/>
      <c r="NG10" s="29"/>
      <c r="NH10" s="29"/>
      <c r="NI10" s="29"/>
      <c r="NJ10" s="29"/>
      <c r="NK10" s="29"/>
      <c r="NL10" s="29"/>
      <c r="NM10" s="29"/>
      <c r="NN10" s="29"/>
      <c r="NO10" s="29"/>
      <c r="NP10" s="29"/>
      <c r="NQ10" s="29"/>
      <c r="NR10" s="29"/>
      <c r="NS10" s="29"/>
      <c r="NT10" s="29"/>
      <c r="NU10" s="29"/>
      <c r="NV10" s="29"/>
      <c r="NW10" s="29"/>
      <c r="NX10" s="29"/>
      <c r="NY10" s="29"/>
      <c r="NZ10" s="29"/>
      <c r="OA10" s="29"/>
      <c r="OB10" s="29"/>
      <c r="OC10" s="29"/>
      <c r="OD10" s="29"/>
      <c r="OE10" s="29"/>
      <c r="OF10" s="29"/>
      <c r="OG10" s="29"/>
      <c r="OH10" s="29"/>
      <c r="OI10" s="29"/>
      <c r="OJ10" s="29"/>
      <c r="OK10" s="29"/>
      <c r="OL10" s="29"/>
      <c r="OM10" s="29"/>
      <c r="ON10" s="29"/>
      <c r="OO10" s="29"/>
      <c r="OP10" s="29"/>
      <c r="OQ10" s="29"/>
      <c r="OR10" s="29"/>
      <c r="OS10" s="29"/>
      <c r="OT10" s="29"/>
      <c r="OU10" s="29"/>
      <c r="OV10" s="29"/>
      <c r="OW10" s="29"/>
      <c r="OX10" s="29"/>
      <c r="OY10" s="29"/>
      <c r="OZ10" s="29"/>
      <c r="PA10" s="29"/>
      <c r="PB10" s="29"/>
      <c r="PC10" s="29"/>
      <c r="PD10" s="29"/>
      <c r="PE10" s="29"/>
      <c r="PF10" s="29"/>
      <c r="PG10" s="29"/>
      <c r="PH10" s="29"/>
      <c r="PI10" s="29"/>
      <c r="PJ10" s="29"/>
      <c r="PK10" s="29"/>
      <c r="PL10" s="29"/>
      <c r="PM10" s="29"/>
      <c r="PN10" s="29"/>
      <c r="PO10" s="29"/>
      <c r="PP10" s="29"/>
      <c r="PQ10" s="29"/>
      <c r="PR10" s="29"/>
      <c r="PS10" s="29"/>
      <c r="PT10" s="29"/>
      <c r="PU10" s="29"/>
      <c r="PV10" s="29"/>
      <c r="PW10" s="29"/>
      <c r="PX10" s="29"/>
      <c r="PY10" s="29"/>
      <c r="PZ10" s="29"/>
      <c r="QA10" s="29"/>
      <c r="QB10" s="29"/>
      <c r="QC10" s="29"/>
      <c r="QD10" s="29"/>
      <c r="QE10" s="29"/>
      <c r="QF10" s="29"/>
      <c r="QG10" s="29"/>
      <c r="QH10" s="29"/>
      <c r="QI10" s="29"/>
      <c r="QJ10" s="29"/>
      <c r="QK10" s="29"/>
      <c r="QL10" s="29"/>
      <c r="QM10" s="29"/>
      <c r="QN10" s="29"/>
      <c r="QO10" s="29"/>
      <c r="QP10" s="29"/>
      <c r="QQ10" s="29"/>
      <c r="QR10" s="29"/>
      <c r="QS10" s="29"/>
      <c r="QT10" s="29"/>
      <c r="QU10" s="29"/>
      <c r="QV10" s="29"/>
      <c r="QW10" s="29"/>
      <c r="QX10" s="29"/>
      <c r="QY10" s="29"/>
      <c r="QZ10" s="29"/>
      <c r="RA10" s="29"/>
      <c r="RB10" s="29"/>
      <c r="RC10" s="29"/>
      <c r="RD10" s="29"/>
      <c r="RE10" s="29"/>
      <c r="RF10" s="29"/>
      <c r="RG10" s="29"/>
      <c r="RH10" s="29"/>
      <c r="RI10" s="29"/>
      <c r="RJ10" s="29"/>
      <c r="RK10" s="29"/>
      <c r="RL10" s="29"/>
      <c r="RM10" s="29"/>
      <c r="RN10" s="29"/>
      <c r="RO10" s="29"/>
      <c r="RP10" s="29"/>
      <c r="RQ10" s="29"/>
      <c r="RR10" s="29"/>
      <c r="RS10" s="29"/>
      <c r="RT10" s="29"/>
      <c r="RU10" s="29"/>
      <c r="RV10" s="29"/>
      <c r="RW10" s="29"/>
      <c r="RX10" s="29"/>
      <c r="RY10" s="29"/>
      <c r="RZ10" s="29"/>
      <c r="SA10" s="29"/>
      <c r="SB10" s="29"/>
      <c r="SC10" s="29"/>
      <c r="SD10" s="29"/>
      <c r="SE10" s="29"/>
      <c r="SF10" s="29"/>
      <c r="SG10" s="29"/>
      <c r="SH10" s="29"/>
      <c r="SI10" s="29"/>
      <c r="SJ10" s="29"/>
      <c r="SK10" s="29"/>
      <c r="SL10" s="29"/>
      <c r="SM10" s="29"/>
      <c r="SN10" s="29"/>
      <c r="SO10" s="29"/>
      <c r="SP10" s="29"/>
      <c r="SQ10" s="29"/>
      <c r="SR10" s="29"/>
      <c r="SS10" s="29"/>
      <c r="ST10" s="29"/>
      <c r="SU10" s="29"/>
      <c r="SV10" s="29"/>
      <c r="SW10" s="29"/>
      <c r="SX10" s="29"/>
      <c r="SY10" s="29"/>
      <c r="SZ10" s="29"/>
      <c r="TA10" s="29"/>
      <c r="TB10" s="29"/>
      <c r="TC10" s="29"/>
      <c r="TD10" s="29"/>
      <c r="TE10" s="29"/>
      <c r="TF10" s="29"/>
      <c r="TG10" s="29"/>
      <c r="TH10" s="29"/>
      <c r="TI10" s="29"/>
      <c r="TJ10" s="29"/>
      <c r="TK10" s="29"/>
      <c r="TL10" s="29"/>
      <c r="TM10" s="29"/>
      <c r="TN10" s="29"/>
      <c r="TO10" s="29"/>
      <c r="TP10" s="29"/>
      <c r="TQ10" s="29"/>
      <c r="TR10" s="29"/>
      <c r="TS10" s="29"/>
      <c r="TT10" s="29"/>
      <c r="TU10" s="29"/>
      <c r="TV10" s="29"/>
      <c r="TW10" s="29"/>
      <c r="TX10" s="29"/>
      <c r="TY10" s="29"/>
      <c r="TZ10" s="29"/>
      <c r="UA10" s="29"/>
      <c r="UB10" s="29"/>
      <c r="UC10" s="29"/>
      <c r="UD10" s="29"/>
      <c r="UE10" s="29"/>
      <c r="UF10" s="29"/>
      <c r="UG10" s="29"/>
      <c r="UH10" s="29"/>
      <c r="UI10" s="29"/>
      <c r="UJ10" s="29"/>
      <c r="UK10" s="29"/>
      <c r="UL10" s="29"/>
      <c r="UM10" s="29"/>
      <c r="UN10" s="29"/>
      <c r="UO10" s="29"/>
      <c r="UP10" s="29"/>
      <c r="UQ10" s="29"/>
      <c r="UR10" s="29"/>
      <c r="US10" s="29"/>
      <c r="UT10" s="29"/>
      <c r="UU10" s="29"/>
      <c r="UV10" s="29"/>
      <c r="UW10" s="29"/>
      <c r="UX10" s="29"/>
      <c r="UY10" s="29"/>
      <c r="UZ10" s="29"/>
      <c r="VA10" s="29"/>
      <c r="VB10" s="29"/>
      <c r="VC10" s="29"/>
      <c r="VD10" s="29"/>
      <c r="VE10" s="29"/>
      <c r="VF10" s="29"/>
      <c r="VG10" s="29"/>
      <c r="VH10" s="29"/>
      <c r="VI10" s="29"/>
      <c r="VJ10" s="29"/>
      <c r="VK10" s="29"/>
      <c r="VL10" s="29"/>
      <c r="VM10" s="29"/>
      <c r="VN10" s="29"/>
      <c r="VO10" s="29"/>
      <c r="VP10" s="29"/>
      <c r="VQ10" s="29"/>
      <c r="VR10" s="29"/>
      <c r="VS10" s="29"/>
      <c r="VT10" s="29"/>
      <c r="VU10" s="29"/>
      <c r="VV10" s="29"/>
      <c r="VW10" s="29"/>
      <c r="VX10" s="29"/>
      <c r="VY10" s="29"/>
      <c r="VZ10" s="29"/>
      <c r="WA10" s="29"/>
      <c r="WB10" s="29"/>
      <c r="WC10" s="29"/>
      <c r="WD10" s="29"/>
      <c r="WE10" s="29"/>
      <c r="WF10" s="29"/>
      <c r="WG10" s="29"/>
      <c r="WH10" s="29"/>
      <c r="WI10" s="29"/>
      <c r="WJ10" s="29"/>
      <c r="WK10" s="29"/>
      <c r="WL10" s="29"/>
      <c r="WM10" s="29"/>
      <c r="WN10" s="29"/>
      <c r="WO10" s="29"/>
      <c r="WP10" s="29"/>
      <c r="WQ10" s="29"/>
      <c r="WR10" s="29"/>
      <c r="WS10" s="29"/>
      <c r="WT10" s="29"/>
      <c r="WU10" s="29"/>
      <c r="WV10" s="29"/>
      <c r="WW10" s="29"/>
      <c r="WX10" s="29"/>
      <c r="WY10" s="29"/>
      <c r="WZ10" s="29"/>
      <c r="XA10" s="29"/>
      <c r="XB10" s="29"/>
      <c r="XC10" s="29"/>
      <c r="XD10" s="29"/>
      <c r="XE10" s="29"/>
      <c r="XF10" s="29"/>
      <c r="XG10" s="29"/>
      <c r="XH10" s="29"/>
      <c r="XI10" s="29"/>
      <c r="XJ10" s="29"/>
      <c r="XK10" s="29"/>
      <c r="XL10" s="29"/>
      <c r="XM10" s="29"/>
      <c r="XN10" s="29"/>
      <c r="XO10" s="29"/>
      <c r="XP10" s="29"/>
      <c r="XQ10" s="29"/>
      <c r="XR10" s="29"/>
      <c r="XS10" s="29"/>
      <c r="XT10" s="29"/>
      <c r="XU10" s="29"/>
      <c r="XV10" s="29"/>
      <c r="XW10" s="29"/>
      <c r="XX10" s="29"/>
      <c r="XY10" s="29"/>
      <c r="XZ10" s="29"/>
      <c r="YA10" s="29"/>
      <c r="YB10" s="29"/>
      <c r="YC10" s="29"/>
      <c r="YD10" s="29"/>
      <c r="YE10" s="29"/>
      <c r="YF10" s="29"/>
      <c r="YG10" s="29"/>
      <c r="YH10" s="29"/>
      <c r="YI10" s="29"/>
      <c r="YJ10" s="29"/>
      <c r="YK10" s="29"/>
      <c r="YL10" s="29"/>
      <c r="YM10" s="29"/>
      <c r="YN10" s="29"/>
      <c r="YO10" s="29"/>
      <c r="YP10" s="29"/>
      <c r="YQ10" s="29"/>
      <c r="YR10" s="29"/>
      <c r="YS10" s="29"/>
      <c r="YT10" s="29"/>
      <c r="YU10" s="29"/>
      <c r="YV10" s="29"/>
      <c r="YW10" s="29"/>
      <c r="YX10" s="29"/>
      <c r="YY10" s="29"/>
      <c r="YZ10" s="29"/>
      <c r="ZA10" s="29"/>
      <c r="ZB10" s="29"/>
      <c r="ZC10" s="29"/>
      <c r="ZD10" s="29"/>
      <c r="ZE10" s="29"/>
      <c r="ZF10" s="29"/>
      <c r="ZG10" s="29"/>
      <c r="ZH10" s="29"/>
      <c r="ZI10" s="29"/>
      <c r="ZJ10" s="29"/>
      <c r="ZK10" s="29"/>
      <c r="ZL10" s="29"/>
      <c r="ZM10" s="29"/>
      <c r="ZN10" s="29"/>
      <c r="ZO10" s="29"/>
      <c r="ZP10" s="29"/>
      <c r="ZQ10" s="29"/>
      <c r="ZR10" s="29"/>
      <c r="ZS10" s="29"/>
      <c r="ZT10" s="29"/>
      <c r="ZU10" s="29"/>
      <c r="ZV10" s="29"/>
      <c r="ZW10" s="29"/>
      <c r="ZX10" s="29"/>
      <c r="ZY10" s="29"/>
      <c r="ZZ10" s="29"/>
      <c r="AAA10" s="29"/>
      <c r="AAB10" s="29"/>
      <c r="AAC10" s="29"/>
      <c r="AAD10" s="29"/>
      <c r="AAE10" s="29"/>
      <c r="AAF10" s="29"/>
      <c r="AAG10" s="29"/>
      <c r="AAH10" s="29"/>
      <c r="AAI10" s="29"/>
      <c r="AAJ10" s="29"/>
      <c r="AAK10" s="29"/>
      <c r="AAL10" s="29"/>
      <c r="AAM10" s="29"/>
      <c r="AAN10" s="29"/>
      <c r="AAO10" s="29"/>
      <c r="AAP10" s="29"/>
      <c r="AAQ10" s="29"/>
      <c r="AAR10" s="29"/>
      <c r="AAS10" s="29"/>
      <c r="AAT10" s="29"/>
      <c r="AAU10" s="29"/>
      <c r="AAV10" s="29"/>
      <c r="AAW10" s="29"/>
      <c r="AAX10" s="29"/>
      <c r="AAY10" s="29"/>
      <c r="AAZ10" s="29"/>
      <c r="ABA10" s="29"/>
      <c r="ABB10" s="29"/>
      <c r="ABC10" s="29"/>
      <c r="ABD10" s="29"/>
      <c r="ABE10" s="29"/>
      <c r="ABF10" s="29"/>
      <c r="ABG10" s="29"/>
      <c r="ABH10" s="29"/>
      <c r="ABI10" s="29"/>
      <c r="ABJ10" s="29"/>
      <c r="ABK10" s="29"/>
      <c r="ABL10" s="29"/>
      <c r="ABM10" s="29"/>
      <c r="ABN10" s="29"/>
      <c r="ABO10" s="29"/>
      <c r="ABP10" s="29"/>
      <c r="ABQ10" s="29"/>
      <c r="ABR10" s="29"/>
      <c r="ABS10" s="29"/>
      <c r="ABT10" s="29"/>
      <c r="ABU10" s="29"/>
      <c r="ABV10" s="29"/>
      <c r="ABW10" s="29"/>
      <c r="ABX10" s="29"/>
      <c r="ABY10" s="29"/>
      <c r="ABZ10" s="29"/>
      <c r="ACA10" s="29"/>
      <c r="ACB10" s="29"/>
      <c r="ACC10" s="29"/>
      <c r="ACD10" s="29"/>
      <c r="ACE10" s="29"/>
      <c r="ACF10" s="29"/>
      <c r="ACG10" s="29"/>
      <c r="ACH10" s="29"/>
      <c r="ACI10" s="29"/>
      <c r="ACJ10" s="29"/>
      <c r="ACK10" s="29"/>
      <c r="ACL10" s="29"/>
      <c r="ACM10" s="29"/>
      <c r="ACN10" s="29"/>
      <c r="ACO10" s="29"/>
      <c r="ACP10" s="29"/>
      <c r="ACQ10" s="29"/>
      <c r="ACR10" s="29"/>
      <c r="ACS10" s="29"/>
      <c r="ACT10" s="29"/>
      <c r="ACU10" s="29"/>
      <c r="ACV10" s="29"/>
      <c r="ACW10" s="29"/>
      <c r="ACX10" s="29"/>
      <c r="ACY10" s="29"/>
      <c r="ACZ10" s="29"/>
      <c r="ADA10" s="29"/>
      <c r="ADB10" s="29"/>
      <c r="ADC10" s="29"/>
      <c r="ADD10" s="29"/>
      <c r="ADE10" s="29"/>
      <c r="ADF10" s="29"/>
      <c r="ADG10" s="29"/>
      <c r="ADH10" s="29"/>
      <c r="ADI10" s="29"/>
      <c r="ADJ10" s="29"/>
      <c r="ADK10" s="29"/>
      <c r="ADL10" s="29"/>
      <c r="ADM10" s="29"/>
      <c r="ADN10" s="29"/>
      <c r="ADO10" s="29"/>
      <c r="ADP10" s="29"/>
      <c r="ADQ10" s="29"/>
      <c r="ADR10" s="29"/>
      <c r="ADS10" s="29"/>
      <c r="ADT10" s="29"/>
      <c r="ADU10" s="29"/>
      <c r="ADV10" s="29"/>
      <c r="ADW10" s="29"/>
      <c r="ADX10" s="29"/>
      <c r="ADY10" s="29"/>
      <c r="ADZ10" s="29"/>
      <c r="AEA10" s="29"/>
      <c r="AEB10" s="29"/>
      <c r="AEC10" s="29"/>
      <c r="AED10" s="29"/>
      <c r="AEE10" s="29"/>
      <c r="AEF10" s="29"/>
      <c r="AEG10" s="29"/>
      <c r="AEH10" s="29"/>
      <c r="AEI10" s="29"/>
      <c r="AEJ10" s="29"/>
      <c r="AEK10" s="29"/>
      <c r="AEL10" s="29"/>
      <c r="AEM10" s="29"/>
      <c r="AEN10" s="29"/>
      <c r="AEO10" s="29"/>
      <c r="AEP10" s="29"/>
      <c r="AEQ10" s="29"/>
      <c r="AER10" s="29"/>
      <c r="AES10" s="29"/>
      <c r="AET10" s="29"/>
      <c r="AEU10" s="29"/>
      <c r="AEV10" s="29"/>
      <c r="AEW10" s="29"/>
      <c r="AEX10" s="29"/>
      <c r="AEY10" s="29"/>
      <c r="AEZ10" s="29"/>
      <c r="AFA10" s="29"/>
      <c r="AFB10" s="29"/>
      <c r="AFC10" s="29"/>
      <c r="AFD10" s="29"/>
      <c r="AFE10" s="29"/>
      <c r="AFF10" s="29"/>
      <c r="AFG10" s="29"/>
      <c r="AFH10" s="29"/>
      <c r="AFI10" s="29"/>
      <c r="AFJ10" s="29"/>
      <c r="AFK10" s="29"/>
      <c r="AFL10" s="29"/>
      <c r="AFM10" s="29"/>
      <c r="AFN10" s="29"/>
      <c r="AFO10" s="29"/>
      <c r="AFP10" s="29"/>
      <c r="AFQ10" s="29"/>
      <c r="AFR10" s="29"/>
      <c r="AFS10" s="29"/>
      <c r="AFT10" s="29"/>
      <c r="AFU10" s="29"/>
      <c r="AFV10" s="29"/>
      <c r="AFW10" s="29"/>
      <c r="AFX10" s="29"/>
      <c r="AFY10" s="29"/>
      <c r="AFZ10" s="29"/>
      <c r="AGA10" s="29"/>
      <c r="AGB10" s="29"/>
      <c r="AGC10" s="29"/>
      <c r="AGD10" s="29"/>
      <c r="AGE10" s="29"/>
      <c r="AGF10" s="29"/>
      <c r="AGG10" s="29"/>
      <c r="AGH10" s="29"/>
      <c r="AGI10" s="29"/>
      <c r="AGJ10" s="29"/>
      <c r="AGK10" s="29"/>
      <c r="AGL10" s="29"/>
      <c r="AGM10" s="29"/>
      <c r="AGN10" s="29"/>
      <c r="AGO10" s="29"/>
      <c r="AGP10" s="29"/>
      <c r="AGQ10" s="29"/>
      <c r="AGR10" s="29"/>
      <c r="AGS10" s="29"/>
      <c r="AGT10" s="29"/>
      <c r="AGU10" s="29"/>
      <c r="AGV10" s="29"/>
      <c r="AGW10" s="29"/>
      <c r="AGX10" s="29"/>
      <c r="AGY10" s="29"/>
      <c r="AGZ10" s="29"/>
      <c r="AHA10" s="29"/>
      <c r="AHB10" s="29"/>
      <c r="AHC10" s="29"/>
      <c r="AHD10" s="29"/>
      <c r="AHE10" s="29"/>
      <c r="AHF10" s="29"/>
      <c r="AHG10" s="29"/>
      <c r="AHH10" s="29"/>
      <c r="AHI10" s="29"/>
      <c r="AHJ10" s="29"/>
      <c r="AHK10" s="29"/>
      <c r="AHL10" s="29"/>
      <c r="AHM10" s="29"/>
      <c r="AHN10" s="29"/>
      <c r="AHO10" s="29"/>
      <c r="AHP10" s="29"/>
      <c r="AHQ10" s="29"/>
      <c r="AHR10" s="29"/>
      <c r="AHS10" s="29"/>
      <c r="AHT10" s="29"/>
      <c r="AHU10" s="29"/>
      <c r="AHV10" s="29"/>
      <c r="AHW10" s="29"/>
      <c r="AHX10" s="29"/>
      <c r="AHY10" s="29"/>
      <c r="AHZ10" s="29"/>
      <c r="AIA10" s="29"/>
      <c r="AIB10" s="29"/>
      <c r="AIC10" s="29"/>
      <c r="AID10" s="29"/>
      <c r="AIE10" s="29"/>
      <c r="AIF10" s="29"/>
      <c r="AIG10" s="29"/>
      <c r="AIH10" s="29"/>
      <c r="AII10" s="29"/>
      <c r="AIJ10" s="29"/>
      <c r="AIK10" s="29"/>
      <c r="AIL10" s="29"/>
      <c r="AIM10" s="29"/>
      <c r="AIN10" s="29"/>
      <c r="AIO10" s="29"/>
      <c r="AIP10" s="29"/>
      <c r="AIQ10" s="29"/>
      <c r="AIR10" s="29"/>
      <c r="AIS10" s="29"/>
      <c r="AIT10" s="29"/>
      <c r="AIU10" s="29"/>
      <c r="AIV10" s="29"/>
      <c r="AIW10" s="29"/>
      <c r="AIX10" s="29"/>
      <c r="AIY10" s="29"/>
      <c r="AIZ10" s="29"/>
      <c r="AJA10" s="29"/>
      <c r="AJB10" s="29"/>
      <c r="AJC10" s="29"/>
      <c r="AJD10" s="29"/>
      <c r="AJE10" s="29"/>
      <c r="AJF10" s="29"/>
      <c r="AJG10" s="29"/>
      <c r="AJH10" s="29"/>
      <c r="AJI10" s="29"/>
      <c r="AJJ10" s="29"/>
      <c r="AJK10" s="29"/>
      <c r="AJL10" s="29"/>
      <c r="AJM10" s="29"/>
      <c r="AJN10" s="29"/>
      <c r="AJO10" s="29"/>
      <c r="AJP10" s="29"/>
      <c r="AJQ10" s="29"/>
      <c r="AJR10" s="29"/>
      <c r="AJS10" s="29"/>
      <c r="AJT10" s="29"/>
      <c r="AJU10" s="29"/>
      <c r="AJV10" s="29"/>
      <c r="AJW10" s="29"/>
      <c r="AJX10" s="29"/>
      <c r="AJY10" s="29"/>
      <c r="AJZ10" s="29"/>
      <c r="AKA10" s="29"/>
      <c r="AKB10" s="29"/>
      <c r="AKC10" s="29"/>
      <c r="AKD10" s="29"/>
      <c r="AKE10" s="29"/>
      <c r="AKF10" s="29"/>
      <c r="AKG10" s="29"/>
      <c r="AKH10" s="29"/>
      <c r="AKI10" s="29"/>
      <c r="AKJ10" s="29"/>
      <c r="AKK10" s="29"/>
      <c r="AKL10" s="29"/>
      <c r="AKM10" s="29"/>
      <c r="AKN10" s="29"/>
      <c r="AKO10" s="29"/>
      <c r="AKP10" s="29"/>
      <c r="AKQ10" s="29"/>
      <c r="AKR10" s="29"/>
      <c r="AKS10" s="29"/>
      <c r="AKT10" s="29"/>
      <c r="AKU10" s="29"/>
      <c r="AKV10" s="29"/>
      <c r="AKW10" s="29"/>
      <c r="AKX10" s="29"/>
      <c r="AKY10" s="29"/>
      <c r="AKZ10" s="29"/>
      <c r="ALA10" s="29"/>
      <c r="ALB10" s="29"/>
      <c r="ALC10" s="29"/>
      <c r="ALD10" s="29"/>
      <c r="ALE10" s="29"/>
      <c r="ALF10" s="29"/>
      <c r="ALG10" s="29"/>
      <c r="ALH10" s="29"/>
      <c r="ALI10" s="29"/>
      <c r="ALJ10" s="29"/>
      <c r="ALK10" s="29"/>
      <c r="ALL10" s="29"/>
      <c r="ALM10" s="29"/>
      <c r="ALN10" s="29"/>
      <c r="ALO10" s="29"/>
      <c r="ALP10" s="29"/>
      <c r="ALQ10" s="29"/>
      <c r="ALR10" s="29"/>
      <c r="ALS10" s="29"/>
      <c r="ALT10" s="29"/>
      <c r="ALU10" s="29"/>
      <c r="ALV10" s="29"/>
      <c r="ALW10" s="29"/>
      <c r="ALX10" s="29"/>
      <c r="ALY10" s="29"/>
      <c r="ALZ10" s="29"/>
      <c r="AMA10" s="29"/>
      <c r="AMB10" s="29"/>
      <c r="AMC10" s="29"/>
      <c r="AMD10" s="29"/>
    </row>
    <row r="11" s="17" customFormat="true" ht="15" hidden="false" customHeight="true" outlineLevel="0" collapsed="false">
      <c r="B11" s="118" t="str">
        <f aca="false">'Base Caxias do Sul'!B13</f>
        <v>APS BENTO GONÇALVES</v>
      </c>
      <c r="C11" s="272" t="n">
        <f aca="false">VLOOKUP(B11,Unidades!$D$5:$G$35,4,)</f>
        <v>0.03</v>
      </c>
      <c r="D11" s="273" t="n">
        <f aca="false">'Base Caxias do Sul'!AD13*12+'Base Caxias do Sul'!AE13*4+'Base Caxias do Sul'!AF13*2+'Base Caxias do Sul'!AG13</f>
        <v>10299.8546821857</v>
      </c>
      <c r="E11" s="273" t="n">
        <f aca="false">'Base Caxias do Sul'!AK13*12+'Base Caxias do Sul'!AL13*4+'Base Caxias do Sul'!AM13*2+'Base Caxias do Sul'!AN13</f>
        <v>12724.4404743723</v>
      </c>
      <c r="G11" s="263" t="n">
        <v>0.05</v>
      </c>
      <c r="H11" s="274" t="n">
        <f aca="false">SUMIF(C$5:C$35,G11,D$5:D$35)</f>
        <v>8081.63084713931</v>
      </c>
      <c r="I11" s="274" t="n">
        <f aca="false">SUMIF(C$5:C$35,G11,E$5:E$35)</f>
        <v>10202.2507814287</v>
      </c>
      <c r="J11" s="274" t="n">
        <f aca="false">H11*4</f>
        <v>32326.5233885572</v>
      </c>
      <c r="K11" s="274" t="n">
        <f aca="false">I11*4</f>
        <v>40809.0031257147</v>
      </c>
      <c r="L11" s="275" t="n">
        <f aca="false">H11/H$13</f>
        <v>0.0250314419987875</v>
      </c>
      <c r="M11" s="275" t="n">
        <f aca="false">I11/I$13</f>
        <v>0.0256525401338294</v>
      </c>
    </row>
    <row r="12" s="17" customFormat="true" ht="15" hidden="false" customHeight="true" outlineLevel="0" collapsed="false">
      <c r="B12" s="118" t="str">
        <f aca="false">'Base Caxias do Sul'!B14</f>
        <v>APS FARROUPILHA</v>
      </c>
      <c r="C12" s="272" t="n">
        <f aca="false">VLOOKUP(B12,Unidades!$D$5:$G$35,4,)</f>
        <v>0.02</v>
      </c>
      <c r="D12" s="273" t="n">
        <f aca="false">'Base Caxias do Sul'!AD14*12+'Base Caxias do Sul'!AE14*4+'Base Caxias do Sul'!AF14*2+'Base Caxias do Sul'!AG14</f>
        <v>7997.07029353931</v>
      </c>
      <c r="E12" s="273" t="n">
        <f aca="false">'Base Caxias do Sul'!AK14*12+'Base Caxias do Sul'!AL14*4+'Base Caxias do Sul'!AM14*2+'Base Caxias do Sul'!AN14</f>
        <v>9774.81901979309</v>
      </c>
      <c r="G12" s="18"/>
    </row>
    <row r="13" s="17" customFormat="true" ht="15" hidden="false" customHeight="true" outlineLevel="0" collapsed="false">
      <c r="B13" s="118" t="str">
        <f aca="false">'Base Caxias do Sul'!B15</f>
        <v>APS CANELA</v>
      </c>
      <c r="C13" s="272" t="n">
        <f aca="false">VLOOKUP(B13,Unidades!$D$5:$G$35,4,)</f>
        <v>0.03</v>
      </c>
      <c r="D13" s="273" t="n">
        <f aca="false">'Base Caxias do Sul'!AD15*12+'Base Caxias do Sul'!AE15*4+'Base Caxias do Sul'!AF15*2+'Base Caxias do Sul'!AG15</f>
        <v>14436.0575665445</v>
      </c>
      <c r="E13" s="273" t="n">
        <f aca="false">'Base Caxias do Sul'!AK15*12+'Base Caxias do Sul'!AL15*4+'Base Caxias do Sul'!AM15*2+'Base Caxias do Sul'!AN15</f>
        <v>17834.3055177091</v>
      </c>
      <c r="G13" s="270" t="s">
        <v>96</v>
      </c>
      <c r="H13" s="276" t="n">
        <f aca="false">SUM(H5:H11)</f>
        <v>322859.180367267</v>
      </c>
      <c r="I13" s="276" t="n">
        <f aca="false">SUM(I5:I11)</f>
        <v>397709.183114167</v>
      </c>
      <c r="J13" s="276" t="n">
        <f aca="false">SUM(J5:J11)</f>
        <v>1291436.72146907</v>
      </c>
      <c r="K13" s="276" t="n">
        <f aca="false">SUM(K5:K11)</f>
        <v>1590836.73245667</v>
      </c>
      <c r="L13" s="277" t="n">
        <f aca="false">SUM(L5:L11)</f>
        <v>1</v>
      </c>
      <c r="M13" s="277" t="n">
        <f aca="false">SUM(M5:M11)</f>
        <v>1</v>
      </c>
    </row>
    <row r="14" s="17" customFormat="true" ht="15" hidden="false" customHeight="true" outlineLevel="0" collapsed="false">
      <c r="B14" s="118" t="str">
        <f aca="false">'Base Caxias do Sul'!B16</f>
        <v>APS TORRES</v>
      </c>
      <c r="C14" s="272" t="n">
        <f aca="false">VLOOKUP(B14,Unidades!$D$5:$G$35,4,)</f>
        <v>0.02</v>
      </c>
      <c r="D14" s="273" t="n">
        <f aca="false">'Base Caxias do Sul'!AD16*12+'Base Caxias do Sul'!AE16*4+'Base Caxias do Sul'!AF16*2+'Base Caxias do Sul'!AG16</f>
        <v>13149.8531635393</v>
      </c>
      <c r="E14" s="273" t="n">
        <f aca="false">'Base Caxias do Sul'!AK16*12+'Base Caxias do Sul'!AL16*4+'Base Caxias do Sul'!AM16*2+'Base Caxias do Sul'!AN16</f>
        <v>16073.0655217941</v>
      </c>
    </row>
    <row r="15" s="17" customFormat="true" ht="15" hidden="false" customHeight="true" outlineLevel="0" collapsed="false">
      <c r="B15" s="118" t="str">
        <f aca="false">'Base Novo Hamburgo'!B7</f>
        <v>GEX NOVO HAMBURGO</v>
      </c>
      <c r="C15" s="272" t="n">
        <f aca="false">VLOOKUP(B15,Unidades!$D$5:$G$35,4,)</f>
        <v>0.02</v>
      </c>
      <c r="D15" s="273" t="n">
        <f aca="false">'Base Novo Hamburgo'!AD7*12+'Base Novo Hamburgo'!AE7*4+'Base Novo Hamburgo'!AF7*2+'Base Novo Hamburgo'!AG7</f>
        <v>10585.9342045239</v>
      </c>
      <c r="E15" s="273" t="n">
        <f aca="false">'Base Novo Hamburgo'!AK7*12+'Base Novo Hamburgo'!AL7*4+'Base Novo Hamburgo'!AM7*2+'Base Novo Hamburgo'!AN7</f>
        <v>12939.1873781896</v>
      </c>
    </row>
    <row r="16" s="17" customFormat="true" ht="15" hidden="false" customHeight="true" outlineLevel="0" collapsed="false">
      <c r="B16" s="118" t="str">
        <f aca="false">'Base Novo Hamburgo'!B8</f>
        <v>APS NOVO HAMBURGO</v>
      </c>
      <c r="C16" s="272" t="n">
        <f aca="false">VLOOKUP(B16,Unidades!$D$5:$G$35,4,)</f>
        <v>0.02</v>
      </c>
      <c r="D16" s="273" t="n">
        <f aca="false">'Base Novo Hamburgo'!AD8*12+'Base Novo Hamburgo'!AE8*4+'Base Novo Hamburgo'!AF8*2+'Base Novo Hamburgo'!AG8</f>
        <v>7162.03482673931</v>
      </c>
      <c r="E16" s="273" t="n">
        <f aca="false">'Base Novo Hamburgo'!AK8*12+'Base Novo Hamburgo'!AL8*4+'Base Novo Hamburgo'!AM8*2+'Base Novo Hamburgo'!AN8</f>
        <v>8754.15516872346</v>
      </c>
    </row>
    <row r="17" s="17" customFormat="true" ht="15" hidden="false" customHeight="true" outlineLevel="0" collapsed="false">
      <c r="B17" s="118" t="str">
        <f aca="false">'Base Novo Hamburgo'!B9</f>
        <v>APS CAMPO BOM</v>
      </c>
      <c r="C17" s="272" t="n">
        <f aca="false">VLOOKUP(B17,Unidades!$D$5:$G$35,4,)</f>
        <v>0.02</v>
      </c>
      <c r="D17" s="273" t="n">
        <f aca="false">'Base Novo Hamburgo'!AD9*12+'Base Novo Hamburgo'!AE9*4+'Base Novo Hamburgo'!AF9*2+'Base Novo Hamburgo'!AG9</f>
        <v>8377.13231363142</v>
      </c>
      <c r="E17" s="273" t="n">
        <f aca="false">'Base Novo Hamburgo'!AK9*12+'Base Novo Hamburgo'!AL9*4+'Base Novo Hamburgo'!AM9*2+'Base Novo Hamburgo'!AN9</f>
        <v>10239.3688269517</v>
      </c>
    </row>
    <row r="18" s="29" customFormat="true" ht="15" hidden="false" customHeight="true" outlineLevel="0" collapsed="false">
      <c r="A18" s="17"/>
      <c r="B18" s="118" t="str">
        <f aca="false">'Base Novo Hamburgo'!B10</f>
        <v>DEPÓSITO NOVO HAMBURGO</v>
      </c>
      <c r="C18" s="272" t="n">
        <f aca="false">VLOOKUP(B18,Unidades!$D$5:$G$35,4,)</f>
        <v>0.02</v>
      </c>
      <c r="D18" s="273" t="n">
        <f aca="false">'Base Novo Hamburgo'!AD10*12+'Base Novo Hamburgo'!AE10*4+'Base Novo Hamburgo'!AF10*2+'Base Novo Hamburgo'!AG10</f>
        <v>10699.8102022779</v>
      </c>
      <c r="E18" s="273" t="n">
        <f aca="false">'Base Novo Hamburgo'!AK10*12+'Base Novo Hamburgo'!AL10*4+'Base Novo Hamburgo'!AM10*2+'Base Novo Hamburgo'!AN10</f>
        <v>13078.3780102442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</row>
    <row r="19" customFormat="false" ht="15" hidden="false" customHeight="true" outlineLevel="0" collapsed="false">
      <c r="A19" s="17"/>
      <c r="B19" s="118" t="str">
        <f aca="false">'Base Novo Hamburgo'!B11</f>
        <v>APS TRÊS COROAS</v>
      </c>
      <c r="C19" s="272" t="n">
        <f aca="false">VLOOKUP(B19,Unidades!$D$5:$G$35,4,)</f>
        <v>0.02</v>
      </c>
      <c r="D19" s="273" t="n">
        <f aca="false">'Base Novo Hamburgo'!AD11*12+'Base Novo Hamburgo'!AE11*4+'Base Novo Hamburgo'!AF11*2+'Base Novo Hamburgo'!AG11</f>
        <v>9438.60922033931</v>
      </c>
      <c r="E19" s="273" t="n">
        <f aca="false">'Base Novo Hamburgo'!AK11*12+'Base Novo Hamburgo'!AL11*4+'Base Novo Hamburgo'!AM11*2+'Base Novo Hamburgo'!AN11</f>
        <v>11536.8120500207</v>
      </c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</row>
    <row r="20" customFormat="false" ht="15" hidden="false" customHeight="true" outlineLevel="0" collapsed="false">
      <c r="A20" s="17"/>
      <c r="B20" s="118" t="str">
        <f aca="false">'Base Novo Hamburgo'!B12</f>
        <v>APS DOIS IRMÃOS</v>
      </c>
      <c r="C20" s="272" t="n">
        <f aca="false">VLOOKUP(B20,Unidades!$D$5:$G$35,4,)</f>
        <v>0.02</v>
      </c>
      <c r="D20" s="273" t="n">
        <f aca="false">'Base Novo Hamburgo'!AD12*12+'Base Novo Hamburgo'!AE12*4+'Base Novo Hamburgo'!AF12*2+'Base Novo Hamburgo'!AG12</f>
        <v>8648.91946029809</v>
      </c>
      <c r="E20" s="273" t="n">
        <f aca="false">'Base Novo Hamburgo'!AK12*12+'Base Novo Hamburgo'!AL12*4+'Base Novo Hamburgo'!AM12*2+'Base Novo Hamburgo'!AN12</f>
        <v>10571.5742563224</v>
      </c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</row>
    <row r="21" customFormat="false" ht="15" hidden="false" customHeight="true" outlineLevel="0" collapsed="false">
      <c r="A21" s="29"/>
      <c r="B21" s="118" t="str">
        <f aca="false">'Base Novo Hamburgo'!B13</f>
        <v>APS SAPIRANGA</v>
      </c>
      <c r="C21" s="272" t="n">
        <f aca="false">VLOOKUP(B21,Unidades!$D$5:$G$35,4,)</f>
        <v>0.02</v>
      </c>
      <c r="D21" s="273" t="n">
        <f aca="false">'Base Novo Hamburgo'!AD13*12+'Base Novo Hamburgo'!AE13*4+'Base Novo Hamburgo'!AF13*2+'Base Novo Hamburgo'!AG13</f>
        <v>10971.5973489445</v>
      </c>
      <c r="E21" s="273" t="n">
        <f aca="false">'Base Novo Hamburgo'!AK13*12+'Base Novo Hamburgo'!AL13*4+'Base Novo Hamburgo'!AM13*2+'Base Novo Hamburgo'!AN13</f>
        <v>13410.5834396149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</row>
    <row r="22" customFormat="false" ht="15" hidden="false" customHeight="true" outlineLevel="0" collapsed="false">
      <c r="A22" s="17"/>
      <c r="B22" s="118" t="str">
        <f aca="false">'Base Novo Hamburgo'!B14</f>
        <v>APS PORTÃO</v>
      </c>
      <c r="C22" s="272" t="n">
        <f aca="false">VLOOKUP(B22,Unidades!$D$5:$G$35,4,)</f>
        <v>0.025</v>
      </c>
      <c r="D22" s="273" t="n">
        <f aca="false">'Base Novo Hamburgo'!AD14*12+'Base Novo Hamburgo'!AE14*4+'Base Novo Hamburgo'!AF14*2+'Base Novo Hamburgo'!AG14</f>
        <v>7549.77083207264</v>
      </c>
      <c r="E22" s="273" t="n">
        <f aca="false">'Base Novo Hamburgo'!AK14*12+'Base Novo Hamburgo'!AL14*4+'Base Novo Hamburgo'!AM14*2+'Base Novo Hamburgo'!AN14</f>
        <v>9277.15839845086</v>
      </c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</row>
    <row r="23" customFormat="false" ht="15" hidden="false" customHeight="true" outlineLevel="0" collapsed="false">
      <c r="B23" s="118" t="str">
        <f aca="false">'Base Novo Hamburgo'!B15</f>
        <v>APS SÃO LEOPOLDO</v>
      </c>
      <c r="C23" s="272" t="n">
        <f aca="false">VLOOKUP(B23,Unidades!$D$5:$G$35,4,)</f>
        <v>0.03</v>
      </c>
      <c r="D23" s="273" t="n">
        <f aca="false">'Base Novo Hamburgo'!AD15*12+'Base Novo Hamburgo'!AE15*4+'Base Novo Hamburgo'!AF15*2+'Base Novo Hamburgo'!AG15</f>
        <v>8670.66243203142</v>
      </c>
      <c r="E23" s="273" t="n">
        <f aca="false">'Base Novo Hamburgo'!AK15*12+'Base Novo Hamburgo'!AL15*4+'Base Novo Hamburgo'!AM15*2+'Base Novo Hamburgo'!AN15</f>
        <v>10711.7363685316</v>
      </c>
    </row>
    <row r="24" customFormat="false" ht="15" hidden="false" customHeight="true" outlineLevel="0" collapsed="false">
      <c r="B24" s="118" t="str">
        <f aca="false">'Base Novo Hamburgo'!B16</f>
        <v>APS MONTENEGRO</v>
      </c>
      <c r="C24" s="272" t="n">
        <f aca="false">VLOOKUP(B24,Unidades!$D$5:$G$35,4,)</f>
        <v>0.03</v>
      </c>
      <c r="D24" s="273" t="n">
        <f aca="false">'Base Novo Hamburgo'!AD16*12+'Base Novo Hamburgo'!AE16*4+'Base Novo Hamburgo'!AF16*2+'Base Novo Hamburgo'!AG16</f>
        <v>11623.1716422779</v>
      </c>
      <c r="E24" s="273" t="n">
        <f aca="false">'Base Novo Hamburgo'!AK16*12+'Base Novo Hamburgo'!AL16*4+'Base Novo Hamburgo'!AM16*2+'Base Novo Hamburgo'!AN16</f>
        <v>14359.2662468701</v>
      </c>
    </row>
    <row r="25" customFormat="false" ht="15" hidden="false" customHeight="true" outlineLevel="0" collapsed="false">
      <c r="B25" s="118" t="str">
        <f aca="false">'Base Novo Hamburgo'!B17</f>
        <v>APS SÃO SEBASTIÃO DO CAÍ</v>
      </c>
      <c r="C25" s="272" t="n">
        <f aca="false">VLOOKUP(B25,Unidades!$D$5:$G$35,4,)</f>
        <v>0.03</v>
      </c>
      <c r="D25" s="273" t="n">
        <f aca="false">'Base Novo Hamburgo'!AD17*12+'Base Novo Hamburgo'!AE17*4+'Base Novo Hamburgo'!AF17*2+'Base Novo Hamburgo'!AG17</f>
        <v>9300.49375363142</v>
      </c>
      <c r="E25" s="273" t="n">
        <f aca="false">'Base Novo Hamburgo'!AK17*12+'Base Novo Hamburgo'!AL17*4+'Base Novo Hamburgo'!AM17*2+'Base Novo Hamburgo'!AN17</f>
        <v>11489.8299832363</v>
      </c>
    </row>
    <row r="26" customFormat="false" ht="15" hidden="false" customHeight="true" outlineLevel="0" collapsed="false">
      <c r="B26" s="118" t="str">
        <f aca="false">'Base Novo Hamburgo'!B18</f>
        <v>APS ESTRELA</v>
      </c>
      <c r="C26" s="272" t="n">
        <f aca="false">VLOOKUP(B26,Unidades!$D$5:$G$35,4,)</f>
        <v>0.025</v>
      </c>
      <c r="D26" s="273" t="n">
        <f aca="false">'Base Novo Hamburgo'!AD18*12+'Base Novo Hamburgo'!AE18*4+'Base Novo Hamburgo'!AF18*2+'Base Novo Hamburgo'!AG18</f>
        <v>10258.6985664314</v>
      </c>
      <c r="E26" s="273" t="n">
        <f aca="false">'Base Novo Hamburgo'!AK18*12+'Base Novo Hamburgo'!AL18*4+'Base Novo Hamburgo'!AM18*2+'Base Novo Hamburgo'!AN18</f>
        <v>12605.8887984309</v>
      </c>
    </row>
    <row r="27" customFormat="false" ht="15" hidden="false" customHeight="true" outlineLevel="0" collapsed="false">
      <c r="B27" s="118" t="str">
        <f aca="false">'Base Novo Hamburgo'!B19</f>
        <v>APS LAJEADO</v>
      </c>
      <c r="C27" s="272" t="n">
        <f aca="false">VLOOKUP(B27,Unidades!$D$5:$G$35,4,)</f>
        <v>0.025</v>
      </c>
      <c r="D27" s="273" t="n">
        <f aca="false">'Base Novo Hamburgo'!AD19*12+'Base Novo Hamburgo'!AE19*4+'Base Novo Hamburgo'!AF19*2+'Base Novo Hamburgo'!AG19</f>
        <v>12815.3880050572</v>
      </c>
      <c r="E27" s="273" t="n">
        <f aca="false">'Base Novo Hamburgo'!AK19*12+'Base Novo Hamburgo'!AL19*4+'Base Novo Hamburgo'!AM19*2+'Base Novo Hamburgo'!AN19</f>
        <v>15747.5487806143</v>
      </c>
    </row>
    <row r="28" customFormat="false" ht="15" hidden="false" customHeight="true" outlineLevel="0" collapsed="false">
      <c r="B28" s="118" t="str">
        <f aca="false">'Base Novo Hamburgo'!B20</f>
        <v>APS Encantado</v>
      </c>
      <c r="C28" s="272" t="n">
        <f aca="false">VLOOKUP(B28,Unidades!$D$5:$G$35,4,)</f>
        <v>0.025</v>
      </c>
      <c r="D28" s="273" t="n">
        <f aca="false">'Base Novo Hamburgo'!AD20*12+'Base Novo Hamburgo'!AE20*4+'Base Novo Hamburgo'!AF20*2+'Base Novo Hamburgo'!AG20</f>
        <v>14811.260087416</v>
      </c>
      <c r="E28" s="273" t="n">
        <f aca="false">'Base Novo Hamburgo'!AK20*12+'Base Novo Hamburgo'!AL20*4+'Base Novo Hamburgo'!AM20*2+'Base Novo Hamburgo'!AN20</f>
        <v>18200.0763954168</v>
      </c>
    </row>
    <row r="29" customFormat="false" ht="15" hidden="false" customHeight="true" outlineLevel="0" collapsed="false">
      <c r="B29" s="118" t="str">
        <f aca="false">'Base Novo Hamburgo'!B21</f>
        <v>APS TEUTÔNIA</v>
      </c>
      <c r="C29" s="272" t="n">
        <f aca="false">VLOOKUP(B29,Unidades!$D$5:$G$35,4,)</f>
        <v>0.03</v>
      </c>
      <c r="D29" s="273" t="n">
        <f aca="false">'Base Novo Hamburgo'!AD21*12+'Base Novo Hamburgo'!AE21*4+'Base Novo Hamburgo'!AF21*2+'Base Novo Hamburgo'!AG21</f>
        <v>9920.55394887264</v>
      </c>
      <c r="E29" s="273" t="n">
        <f aca="false">'Base Novo Hamburgo'!AK21*12+'Base Novo Hamburgo'!AL21*4+'Base Novo Hamburgo'!AM21*2+'Base Novo Hamburgo'!AN21</f>
        <v>12255.8523484373</v>
      </c>
    </row>
    <row r="30" customFormat="false" ht="15" hidden="false" customHeight="true" outlineLevel="0" collapsed="false">
      <c r="B30" s="118" t="str">
        <f aca="false">'Base Novo Hamburgo'!B22</f>
        <v>APS TAQUARA</v>
      </c>
      <c r="C30" s="272" t="n">
        <f aca="false">VLOOKUP(B30,Unidades!$D$5:$G$35,4,)</f>
        <v>0.03</v>
      </c>
      <c r="D30" s="273" t="n">
        <f aca="false">'Base Novo Hamburgo'!AD22*12+'Base Novo Hamburgo'!AE22*4+'Base Novo Hamburgo'!AF22*2+'Base Novo Hamburgo'!AG22</f>
        <v>12151.6029638779</v>
      </c>
      <c r="E30" s="273" t="n">
        <f aca="false">'Base Novo Hamburgo'!AK22*12+'Base Novo Hamburgo'!AL22*4+'Base Novo Hamburgo'!AM22*2+'Base Novo Hamburgo'!AN22</f>
        <v>15012.0903015747</v>
      </c>
    </row>
    <row r="31" customFormat="false" ht="15" hidden="false" customHeight="true" outlineLevel="0" collapsed="false">
      <c r="B31" s="118" t="str">
        <f aca="false">'Base Novo Hamburgo'!B23</f>
        <v>APS SANTO ANTÔNIO DA PATRULHA</v>
      </c>
      <c r="C31" s="272" t="n">
        <f aca="false">VLOOKUP(B31,Unidades!$D$5:$G$35,4,)</f>
        <v>0.04</v>
      </c>
      <c r="D31" s="273" t="n">
        <f aca="false">'Base Novo Hamburgo'!AD23*12+'Base Novo Hamburgo'!AE23*4+'Base Novo Hamburgo'!AF23*2+'Base Novo Hamburgo'!AG23</f>
        <v>8708.03347527264</v>
      </c>
      <c r="E31" s="273" t="n">
        <f aca="false">'Base Novo Hamburgo'!AK23*12+'Base Novo Hamburgo'!AL23*4+'Base Novo Hamburgo'!AM23*2+'Base Novo Hamburgo'!AN23</f>
        <v>10873.7214005729</v>
      </c>
    </row>
    <row r="32" customFormat="false" ht="15" hidden="false" customHeight="true" outlineLevel="0" collapsed="false">
      <c r="B32" s="118" t="str">
        <f aca="false">'Base Novo Hamburgo'!B24</f>
        <v>APS OSÓRIO</v>
      </c>
      <c r="C32" s="272" t="n">
        <f aca="false">VLOOKUP(B32,Unidades!$D$5:$G$35,4,)</f>
        <v>0.02</v>
      </c>
      <c r="D32" s="273" t="n">
        <f aca="false">'Base Novo Hamburgo'!AD24*12+'Base Novo Hamburgo'!AE24*4+'Base Novo Hamburgo'!AF24*2+'Base Novo Hamburgo'!AG24</f>
        <v>15911.5653012827</v>
      </c>
      <c r="E32" s="273" t="n">
        <f aca="false">'Base Novo Hamburgo'!AK24*12+'Base Novo Hamburgo'!AL24*4+'Base Novo Hamburgo'!AM24*2+'Base Novo Hamburgo'!AN24</f>
        <v>19448.7062677578</v>
      </c>
    </row>
    <row r="33" customFormat="false" ht="15" hidden="false" customHeight="true" outlineLevel="0" collapsed="false">
      <c r="B33" s="118" t="str">
        <f aca="false">'Base Novo Hamburgo'!B25</f>
        <v>APS BUTIÁ</v>
      </c>
      <c r="C33" s="272" t="n">
        <f aca="false">VLOOKUP(B33,Unidades!$D$5:$G$35,4,)</f>
        <v>0.03</v>
      </c>
      <c r="D33" s="273" t="n">
        <f aca="false">'Base Novo Hamburgo'!AD25*12+'Base Novo Hamburgo'!AE25*4+'Base Novo Hamburgo'!AF25*2+'Base Novo Hamburgo'!AG25</f>
        <v>10486.2005717648</v>
      </c>
      <c r="E33" s="273" t="n">
        <f aca="false">'Base Novo Hamburgo'!AK25*12+'Base Novo Hamburgo'!AL25*4+'Base Novo Hamburgo'!AM25*2+'Base Novo Hamburgo'!AN25</f>
        <v>12954.6521863582</v>
      </c>
    </row>
    <row r="34" customFormat="false" ht="15" hidden="false" customHeight="true" outlineLevel="0" collapsed="false">
      <c r="B34" s="118" t="str">
        <f aca="false">'Base Novo Hamburgo'!B26</f>
        <v>APS SÃO JERÔNIMO</v>
      </c>
      <c r="C34" s="272" t="n">
        <f aca="false">VLOOKUP(B34,Unidades!$D$5:$G$35,4,)</f>
        <v>0.03</v>
      </c>
      <c r="D34" s="273" t="n">
        <f aca="false">'Base Novo Hamburgo'!AD26*12+'Base Novo Hamburgo'!AE26*4+'Base Novo Hamburgo'!AF26*2+'Base Novo Hamburgo'!AG26</f>
        <v>12808.8784604112</v>
      </c>
      <c r="E34" s="273" t="n">
        <f aca="false">'Base Novo Hamburgo'!AK26*12+'Base Novo Hamburgo'!AL26*4+'Base Novo Hamburgo'!AM26*2+'Base Novo Hamburgo'!AN26</f>
        <v>15824.088449992</v>
      </c>
    </row>
    <row r="35" customFormat="false" ht="15" hidden="false" customHeight="true" outlineLevel="0" collapsed="false">
      <c r="B35" s="118" t="str">
        <f aca="false">'Base Novo Hamburgo'!B27</f>
        <v>APS TAQUARI</v>
      </c>
      <c r="C35" s="272" t="n">
        <f aca="false">VLOOKUP(B35,Unidades!$D$5:$G$35,4,)</f>
        <v>0.02</v>
      </c>
      <c r="D35" s="273" t="n">
        <f aca="false">'Base Novo Hamburgo'!AD27*12+'Base Novo Hamburgo'!AE27*4+'Base Novo Hamburgo'!AF27*2+'Base Novo Hamburgo'!AG27</f>
        <v>11595.0921301648</v>
      </c>
      <c r="E35" s="273" t="n">
        <f aca="false">'Base Novo Hamburgo'!AK27*12+'Base Novo Hamburgo'!AL27*4+'Base Novo Hamburgo'!AM27*2+'Base Novo Hamburgo'!AN27</f>
        <v>14172.6811107004</v>
      </c>
    </row>
    <row r="36" customFormat="false" ht="15" hidden="false" customHeight="false" outlineLevel="0" collapsed="false">
      <c r="B36" s="269" t="s">
        <v>96</v>
      </c>
      <c r="C36" s="269"/>
      <c r="D36" s="278" t="n">
        <f aca="false">SUM(D5:D35)</f>
        <v>322859.180367267</v>
      </c>
      <c r="E36" s="278" t="n">
        <f aca="false">SUM(E5:E35)</f>
        <v>397709.183114167</v>
      </c>
    </row>
    <row r="1048576" customFormat="false" ht="12.75" hidden="false" customHeight="false" outlineLevel="0" collapsed="false"/>
  </sheetData>
  <mergeCells count="2">
    <mergeCell ref="B2:M2"/>
    <mergeCell ref="B36:C36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ME4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4" activeCellId="0" sqref="N4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38"/>
    <col collapsed="false" customWidth="true" hidden="false" outlineLevel="0" max="4" min="3" style="17" width="14.75"/>
    <col collapsed="false" customWidth="true" hidden="false" outlineLevel="0" max="5" min="5" style="17" width="15.62"/>
    <col collapsed="false" customWidth="true" hidden="false" outlineLevel="0" max="6" min="6" style="17" width="13.76"/>
    <col collapsed="false" customWidth="true" hidden="false" outlineLevel="0" max="7" min="7" style="17" width="14.87"/>
    <col collapsed="false" customWidth="true" hidden="false" outlineLevel="0" max="8" min="8" style="17" width="14.38"/>
    <col collapsed="false" customWidth="true" hidden="false" outlineLevel="0" max="9" min="9" style="18" width="14"/>
    <col collapsed="false" customWidth="true" hidden="false" outlineLevel="0" max="10" min="10" style="17" width="14.87"/>
    <col collapsed="false" customWidth="true" hidden="false" outlineLevel="0" max="249" min="11" style="17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"PLANILHA RESUMO "&amp;'Valor da Contratação'!B7&amp;""</f>
        <v>PLANILHA RESUMO POLO VIII</v>
      </c>
      <c r="C2" s="19"/>
      <c r="D2" s="19"/>
      <c r="E2" s="19"/>
      <c r="F2" s="19"/>
      <c r="G2" s="19"/>
      <c r="H2" s="19"/>
      <c r="I2" s="19"/>
      <c r="J2" s="20"/>
    </row>
    <row r="3" customFormat="false" ht="15" hidden="false" customHeight="true" outlineLevel="0" collapsed="false">
      <c r="B3" s="2"/>
      <c r="H3" s="2"/>
      <c r="I3" s="21"/>
    </row>
    <row r="4" customFormat="false" ht="46.5" hidden="false" customHeight="true" outlineLevel="0" collapsed="false">
      <c r="B4" s="22" t="s">
        <v>13</v>
      </c>
      <c r="C4" s="22" t="s">
        <v>14</v>
      </c>
      <c r="D4" s="22" t="s">
        <v>15</v>
      </c>
      <c r="E4" s="22" t="s">
        <v>16</v>
      </c>
      <c r="F4" s="22" t="s">
        <v>17</v>
      </c>
      <c r="G4" s="22" t="s">
        <v>18</v>
      </c>
      <c r="H4" s="22" t="s">
        <v>19</v>
      </c>
      <c r="I4" s="22" t="s">
        <v>20</v>
      </c>
    </row>
    <row r="5" customFormat="false" ht="19.5" hidden="false" customHeight="true" outlineLevel="0" collapsed="false">
      <c r="B5" s="23" t="s">
        <v>21</v>
      </c>
      <c r="C5" s="24" t="n">
        <f aca="false">'Base Caxias do Sul'!C17</f>
        <v>9708.88</v>
      </c>
      <c r="D5" s="25" t="n">
        <f aca="false">'Base Caxias do Sul'!AT10</f>
        <v>10353.818912263</v>
      </c>
      <c r="E5" s="25" t="n">
        <f aca="false">D5*12</f>
        <v>124245.826947156</v>
      </c>
      <c r="F5" s="25" t="n">
        <f aca="false">'Base Caxias do Sul'!AT12</f>
        <v>27296.4316777842</v>
      </c>
      <c r="G5" s="25" t="n">
        <f aca="false">F5*12</f>
        <v>327557.180133411</v>
      </c>
      <c r="H5" s="25" t="n">
        <f aca="false">D5+F5</f>
        <v>37650.2505900472</v>
      </c>
      <c r="I5" s="25" t="n">
        <f aca="false">H5*12</f>
        <v>451803.007080567</v>
      </c>
    </row>
    <row r="6" customFormat="false" ht="19.5" hidden="false" customHeight="true" outlineLevel="0" collapsed="false">
      <c r="B6" s="23" t="s">
        <v>22</v>
      </c>
      <c r="C6" s="24" t="n">
        <f aca="false">'Base Novo Hamburgo'!C28</f>
        <v>31388.56</v>
      </c>
      <c r="D6" s="25" t="n">
        <f aca="false">'Base Novo Hamburgo'!AT10</f>
        <v>22788.6130139176</v>
      </c>
      <c r="E6" s="25" t="n">
        <f aca="false">D6*12</f>
        <v>273463.356167011</v>
      </c>
      <c r="F6" s="25" t="n">
        <f aca="false">'Base Novo Hamburgo'!AT12</f>
        <v>60079.0706730555</v>
      </c>
      <c r="G6" s="25" t="n">
        <f aca="false">F6*12</f>
        <v>720948.848076666</v>
      </c>
      <c r="H6" s="25" t="n">
        <f aca="false">D6+F6</f>
        <v>82867.6836869731</v>
      </c>
      <c r="I6" s="25" t="n">
        <f aca="false">H6*12</f>
        <v>994412.204243677</v>
      </c>
    </row>
    <row r="7" customFormat="false" ht="19.5" hidden="false" customHeight="true" outlineLevel="0" collapsed="false">
      <c r="B7" s="26" t="str">
        <f aca="false">"TOTAL "&amp;'Valor da Contratação'!B7&amp;""</f>
        <v>TOTAL POLO VIII</v>
      </c>
      <c r="C7" s="27" t="n">
        <f aca="false">SUM(C5:C6)</f>
        <v>41097.44</v>
      </c>
      <c r="D7" s="28" t="n">
        <f aca="false">SUM(D5:D6)</f>
        <v>33142.4319261806</v>
      </c>
      <c r="E7" s="28" t="n">
        <f aca="false">SUM(E5:E6)</f>
        <v>397709.183114167</v>
      </c>
      <c r="F7" s="28" t="n">
        <f aca="false">SUM(F5:F6)</f>
        <v>87375.5023508397</v>
      </c>
      <c r="G7" s="28" t="n">
        <f aca="false">SUM(G5:G6)</f>
        <v>1048506.02821008</v>
      </c>
      <c r="H7" s="28" t="n">
        <f aca="false">SUM(H5:H6)</f>
        <v>120517.93427702</v>
      </c>
      <c r="I7" s="28" t="n">
        <f aca="false">SUM(I5:I6)</f>
        <v>1446215.21132424</v>
      </c>
    </row>
    <row r="8" s="29" customFormat="true" ht="24.75" hidden="false" customHeight="true" outlineLevel="0" collapsed="false">
      <c r="B8" s="2"/>
      <c r="C8" s="2"/>
      <c r="D8" s="2"/>
      <c r="E8" s="2"/>
      <c r="F8" s="2"/>
      <c r="G8" s="30"/>
      <c r="H8" s="2"/>
      <c r="I8" s="2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</row>
    <row r="9" customFormat="false" ht="27" hidden="false" customHeight="true" outlineLevel="0" collapsed="false">
      <c r="A9" s="29"/>
      <c r="B9" s="31" t="str">
        <f aca="false">"BASE "&amp;B5</f>
        <v>BASE CAXIAS DO SUL</v>
      </c>
      <c r="C9" s="32" t="s">
        <v>23</v>
      </c>
      <c r="D9" s="32"/>
      <c r="E9" s="32"/>
      <c r="F9" s="32" t="s">
        <v>24</v>
      </c>
      <c r="G9" s="32"/>
      <c r="H9" s="32"/>
      <c r="I9" s="33" t="s">
        <v>25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34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29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29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29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29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29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29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29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29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29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29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29"/>
      <c r="NS9" s="29"/>
      <c r="NT9" s="29"/>
      <c r="NU9" s="29"/>
      <c r="NV9" s="29"/>
      <c r="NW9" s="29"/>
      <c r="NX9" s="29"/>
      <c r="NY9" s="29"/>
      <c r="NZ9" s="29"/>
      <c r="OA9" s="29"/>
      <c r="OB9" s="29"/>
      <c r="OC9" s="29"/>
      <c r="OD9" s="29"/>
      <c r="OE9" s="29"/>
      <c r="OF9" s="29"/>
      <c r="OG9" s="29"/>
      <c r="OH9" s="29"/>
      <c r="OI9" s="29"/>
      <c r="OJ9" s="29"/>
      <c r="OK9" s="29"/>
      <c r="OL9" s="29"/>
      <c r="OM9" s="29"/>
      <c r="ON9" s="29"/>
      <c r="OO9" s="29"/>
      <c r="OP9" s="29"/>
      <c r="OQ9" s="29"/>
      <c r="OR9" s="29"/>
      <c r="OS9" s="29"/>
      <c r="OT9" s="29"/>
      <c r="OU9" s="29"/>
      <c r="OV9" s="29"/>
      <c r="OW9" s="29"/>
      <c r="OX9" s="29"/>
      <c r="OY9" s="29"/>
      <c r="OZ9" s="29"/>
      <c r="PA9" s="29"/>
      <c r="PB9" s="29"/>
      <c r="PC9" s="29"/>
      <c r="PD9" s="29"/>
      <c r="PE9" s="29"/>
      <c r="PF9" s="29"/>
      <c r="PG9" s="29"/>
      <c r="PH9" s="29"/>
      <c r="PI9" s="29"/>
      <c r="PJ9" s="29"/>
      <c r="PK9" s="29"/>
      <c r="PL9" s="29"/>
      <c r="PM9" s="29"/>
      <c r="PN9" s="29"/>
      <c r="PO9" s="29"/>
      <c r="PP9" s="29"/>
      <c r="PQ9" s="29"/>
      <c r="PR9" s="29"/>
      <c r="PS9" s="29"/>
      <c r="PT9" s="29"/>
      <c r="PU9" s="29"/>
      <c r="PV9" s="29"/>
      <c r="PW9" s="29"/>
      <c r="PX9" s="29"/>
      <c r="PY9" s="29"/>
      <c r="PZ9" s="29"/>
      <c r="QA9" s="29"/>
      <c r="QB9" s="29"/>
      <c r="QC9" s="29"/>
      <c r="QD9" s="29"/>
      <c r="QE9" s="29"/>
      <c r="QF9" s="29"/>
      <c r="QG9" s="29"/>
      <c r="QH9" s="29"/>
      <c r="QI9" s="29"/>
      <c r="QJ9" s="29"/>
      <c r="QK9" s="29"/>
      <c r="QL9" s="29"/>
      <c r="QM9" s="29"/>
      <c r="QN9" s="29"/>
      <c r="QO9" s="29"/>
      <c r="QP9" s="29"/>
      <c r="QQ9" s="29"/>
      <c r="QR9" s="29"/>
      <c r="QS9" s="29"/>
      <c r="QT9" s="29"/>
      <c r="QU9" s="29"/>
      <c r="QV9" s="29"/>
      <c r="QW9" s="29"/>
      <c r="QX9" s="29"/>
      <c r="QY9" s="29"/>
      <c r="QZ9" s="29"/>
      <c r="RA9" s="29"/>
      <c r="RB9" s="29"/>
      <c r="RC9" s="29"/>
      <c r="RD9" s="29"/>
      <c r="RE9" s="29"/>
      <c r="RF9" s="29"/>
      <c r="RG9" s="29"/>
      <c r="RH9" s="29"/>
      <c r="RI9" s="29"/>
      <c r="RJ9" s="29"/>
      <c r="RK9" s="29"/>
      <c r="RL9" s="29"/>
      <c r="RM9" s="29"/>
      <c r="RN9" s="29"/>
      <c r="RO9" s="29"/>
      <c r="RP9" s="29"/>
      <c r="RQ9" s="29"/>
      <c r="RR9" s="29"/>
      <c r="RS9" s="29"/>
      <c r="RT9" s="29"/>
      <c r="RU9" s="29"/>
      <c r="RV9" s="29"/>
      <c r="RW9" s="29"/>
      <c r="RX9" s="29"/>
      <c r="RY9" s="29"/>
      <c r="RZ9" s="29"/>
      <c r="SA9" s="29"/>
      <c r="SB9" s="29"/>
      <c r="SC9" s="29"/>
      <c r="SD9" s="29"/>
      <c r="SE9" s="29"/>
      <c r="SF9" s="29"/>
      <c r="SG9" s="29"/>
      <c r="SH9" s="29"/>
      <c r="SI9" s="29"/>
      <c r="SJ9" s="29"/>
      <c r="SK9" s="29"/>
      <c r="SL9" s="29"/>
      <c r="SM9" s="29"/>
      <c r="SN9" s="29"/>
      <c r="SO9" s="29"/>
      <c r="SP9" s="29"/>
      <c r="SQ9" s="29"/>
      <c r="SR9" s="29"/>
      <c r="SS9" s="29"/>
      <c r="ST9" s="29"/>
      <c r="SU9" s="29"/>
      <c r="SV9" s="29"/>
      <c r="SW9" s="29"/>
      <c r="SX9" s="29"/>
      <c r="SY9" s="29"/>
      <c r="SZ9" s="29"/>
      <c r="TA9" s="29"/>
      <c r="TB9" s="29"/>
      <c r="TC9" s="29"/>
      <c r="TD9" s="29"/>
      <c r="TE9" s="29"/>
      <c r="TF9" s="29"/>
      <c r="TG9" s="29"/>
      <c r="TH9" s="29"/>
      <c r="TI9" s="29"/>
      <c r="TJ9" s="29"/>
      <c r="TK9" s="29"/>
      <c r="TL9" s="29"/>
      <c r="TM9" s="29"/>
      <c r="TN9" s="29"/>
      <c r="TO9" s="29"/>
      <c r="TP9" s="29"/>
      <c r="TQ9" s="29"/>
      <c r="TR9" s="29"/>
      <c r="TS9" s="29"/>
      <c r="TT9" s="29"/>
      <c r="TU9" s="29"/>
      <c r="TV9" s="29"/>
      <c r="TW9" s="29"/>
      <c r="TX9" s="29"/>
      <c r="TY9" s="29"/>
      <c r="TZ9" s="29"/>
      <c r="UA9" s="29"/>
      <c r="UB9" s="29"/>
      <c r="UC9" s="29"/>
      <c r="UD9" s="29"/>
      <c r="UE9" s="29"/>
      <c r="UF9" s="29"/>
      <c r="UG9" s="29"/>
      <c r="UH9" s="29"/>
      <c r="UI9" s="29"/>
      <c r="UJ9" s="29"/>
      <c r="UK9" s="29"/>
      <c r="UL9" s="29"/>
      <c r="UM9" s="29"/>
      <c r="UN9" s="29"/>
      <c r="UO9" s="29"/>
      <c r="UP9" s="29"/>
      <c r="UQ9" s="29"/>
      <c r="UR9" s="29"/>
      <c r="US9" s="29"/>
      <c r="UT9" s="29"/>
      <c r="UU9" s="29"/>
      <c r="UV9" s="29"/>
      <c r="UW9" s="29"/>
      <c r="UX9" s="29"/>
      <c r="UY9" s="29"/>
      <c r="UZ9" s="29"/>
      <c r="VA9" s="29"/>
      <c r="VB9" s="29"/>
      <c r="VC9" s="29"/>
      <c r="VD9" s="29"/>
      <c r="VE9" s="29"/>
      <c r="VF9" s="29"/>
      <c r="VG9" s="29"/>
      <c r="VH9" s="29"/>
      <c r="VI9" s="29"/>
      <c r="VJ9" s="29"/>
      <c r="VK9" s="29"/>
      <c r="VL9" s="29"/>
      <c r="VM9" s="29"/>
      <c r="VN9" s="29"/>
      <c r="VO9" s="29"/>
      <c r="VP9" s="29"/>
      <c r="VQ9" s="29"/>
      <c r="VR9" s="29"/>
      <c r="VS9" s="29"/>
      <c r="VT9" s="29"/>
      <c r="VU9" s="29"/>
      <c r="VV9" s="29"/>
      <c r="VW9" s="29"/>
      <c r="VX9" s="29"/>
      <c r="VY9" s="29"/>
      <c r="VZ9" s="29"/>
      <c r="WA9" s="29"/>
      <c r="WB9" s="29"/>
      <c r="WC9" s="29"/>
      <c r="WD9" s="29"/>
      <c r="WE9" s="29"/>
      <c r="WF9" s="29"/>
      <c r="WG9" s="29"/>
      <c r="WH9" s="29"/>
      <c r="WI9" s="29"/>
      <c r="WJ9" s="29"/>
      <c r="WK9" s="29"/>
      <c r="WL9" s="29"/>
      <c r="WM9" s="29"/>
      <c r="WN9" s="29"/>
      <c r="WO9" s="29"/>
      <c r="WP9" s="29"/>
      <c r="WQ9" s="29"/>
      <c r="WR9" s="29"/>
      <c r="WS9" s="29"/>
      <c r="WT9" s="29"/>
      <c r="WU9" s="29"/>
      <c r="WV9" s="29"/>
      <c r="WW9" s="29"/>
      <c r="WX9" s="29"/>
      <c r="WY9" s="29"/>
      <c r="WZ9" s="29"/>
      <c r="XA9" s="29"/>
      <c r="XB9" s="29"/>
      <c r="XC9" s="29"/>
      <c r="XD9" s="29"/>
      <c r="XE9" s="29"/>
      <c r="XF9" s="29"/>
      <c r="XG9" s="29"/>
      <c r="XH9" s="29"/>
      <c r="XI9" s="29"/>
      <c r="XJ9" s="29"/>
      <c r="XK9" s="29"/>
      <c r="XL9" s="29"/>
      <c r="XM9" s="29"/>
      <c r="XN9" s="29"/>
      <c r="XO9" s="29"/>
      <c r="XP9" s="29"/>
      <c r="XQ9" s="29"/>
      <c r="XR9" s="29"/>
      <c r="XS9" s="29"/>
      <c r="XT9" s="29"/>
      <c r="XU9" s="29"/>
      <c r="XV9" s="29"/>
      <c r="XW9" s="29"/>
      <c r="XX9" s="29"/>
      <c r="XY9" s="29"/>
      <c r="XZ9" s="29"/>
      <c r="YA9" s="29"/>
      <c r="YB9" s="29"/>
      <c r="YC9" s="29"/>
      <c r="YD9" s="29"/>
      <c r="YE9" s="29"/>
      <c r="YF9" s="29"/>
      <c r="YG9" s="29"/>
      <c r="YH9" s="29"/>
      <c r="YI9" s="29"/>
      <c r="YJ9" s="29"/>
      <c r="YK9" s="29"/>
      <c r="YL9" s="29"/>
      <c r="YM9" s="29"/>
      <c r="YN9" s="29"/>
      <c r="YO9" s="29"/>
      <c r="YP9" s="29"/>
      <c r="YQ9" s="29"/>
      <c r="YR9" s="29"/>
      <c r="YS9" s="29"/>
      <c r="YT9" s="29"/>
      <c r="YU9" s="29"/>
      <c r="YV9" s="29"/>
      <c r="YW9" s="29"/>
      <c r="YX9" s="29"/>
      <c r="YY9" s="29"/>
      <c r="YZ9" s="29"/>
      <c r="ZA9" s="29"/>
      <c r="ZB9" s="29"/>
      <c r="ZC9" s="29"/>
      <c r="ZD9" s="29"/>
      <c r="ZE9" s="29"/>
      <c r="ZF9" s="29"/>
      <c r="ZG9" s="29"/>
      <c r="ZH9" s="29"/>
      <c r="ZI9" s="29"/>
      <c r="ZJ9" s="29"/>
      <c r="ZK9" s="29"/>
      <c r="ZL9" s="29"/>
      <c r="ZM9" s="29"/>
      <c r="ZN9" s="29"/>
      <c r="ZO9" s="29"/>
      <c r="ZP9" s="29"/>
      <c r="ZQ9" s="29"/>
      <c r="ZR9" s="29"/>
      <c r="ZS9" s="29"/>
      <c r="ZT9" s="29"/>
      <c r="ZU9" s="29"/>
      <c r="ZV9" s="29"/>
      <c r="ZW9" s="29"/>
      <c r="ZX9" s="29"/>
      <c r="ZY9" s="29"/>
      <c r="ZZ9" s="29"/>
      <c r="AAA9" s="29"/>
      <c r="AAB9" s="29"/>
      <c r="AAC9" s="29"/>
      <c r="AAD9" s="29"/>
      <c r="AAE9" s="29"/>
      <c r="AAF9" s="29"/>
      <c r="AAG9" s="29"/>
      <c r="AAH9" s="29"/>
      <c r="AAI9" s="29"/>
      <c r="AAJ9" s="29"/>
      <c r="AAK9" s="29"/>
      <c r="AAL9" s="29"/>
      <c r="AAM9" s="29"/>
      <c r="AAN9" s="29"/>
      <c r="AAO9" s="29"/>
      <c r="AAP9" s="29"/>
      <c r="AAQ9" s="29"/>
      <c r="AAR9" s="29"/>
      <c r="AAS9" s="29"/>
      <c r="AAT9" s="29"/>
      <c r="AAU9" s="29"/>
      <c r="AAV9" s="29"/>
      <c r="AAW9" s="29"/>
      <c r="AAX9" s="29"/>
      <c r="AAY9" s="29"/>
      <c r="AAZ9" s="29"/>
      <c r="ABA9" s="29"/>
      <c r="ABB9" s="29"/>
      <c r="ABC9" s="29"/>
      <c r="ABD9" s="29"/>
      <c r="ABE9" s="29"/>
      <c r="ABF9" s="29"/>
      <c r="ABG9" s="29"/>
      <c r="ABH9" s="29"/>
      <c r="ABI9" s="29"/>
      <c r="ABJ9" s="29"/>
      <c r="ABK9" s="29"/>
      <c r="ABL9" s="29"/>
      <c r="ABM9" s="29"/>
      <c r="ABN9" s="29"/>
      <c r="ABO9" s="29"/>
      <c r="ABP9" s="29"/>
      <c r="ABQ9" s="29"/>
      <c r="ABR9" s="29"/>
      <c r="ABS9" s="29"/>
      <c r="ABT9" s="29"/>
      <c r="ABU9" s="29"/>
      <c r="ABV9" s="29"/>
      <c r="ABW9" s="29"/>
      <c r="ABX9" s="29"/>
      <c r="ABY9" s="29"/>
      <c r="ABZ9" s="29"/>
      <c r="ACA9" s="29"/>
      <c r="ACB9" s="29"/>
      <c r="ACC9" s="29"/>
      <c r="ACD9" s="29"/>
      <c r="ACE9" s="29"/>
      <c r="ACF9" s="29"/>
      <c r="ACG9" s="29"/>
      <c r="ACH9" s="29"/>
      <c r="ACI9" s="29"/>
      <c r="ACJ9" s="29"/>
      <c r="ACK9" s="29"/>
      <c r="ACL9" s="29"/>
      <c r="ACM9" s="29"/>
      <c r="ACN9" s="29"/>
      <c r="ACO9" s="29"/>
      <c r="ACP9" s="29"/>
      <c r="ACQ9" s="29"/>
      <c r="ACR9" s="29"/>
      <c r="ACS9" s="29"/>
      <c r="ACT9" s="29"/>
      <c r="ACU9" s="29"/>
      <c r="ACV9" s="29"/>
      <c r="ACW9" s="29"/>
      <c r="ACX9" s="29"/>
      <c r="ACY9" s="29"/>
      <c r="ACZ9" s="29"/>
      <c r="ADA9" s="29"/>
      <c r="ADB9" s="29"/>
      <c r="ADC9" s="29"/>
      <c r="ADD9" s="29"/>
      <c r="ADE9" s="29"/>
      <c r="ADF9" s="29"/>
      <c r="ADG9" s="29"/>
      <c r="ADH9" s="29"/>
      <c r="ADI9" s="29"/>
      <c r="ADJ9" s="29"/>
      <c r="ADK9" s="29"/>
      <c r="ADL9" s="29"/>
      <c r="ADM9" s="29"/>
      <c r="ADN9" s="29"/>
      <c r="ADO9" s="29"/>
      <c r="ADP9" s="29"/>
      <c r="ADQ9" s="29"/>
      <c r="ADR9" s="29"/>
      <c r="ADS9" s="29"/>
      <c r="ADT9" s="29"/>
      <c r="ADU9" s="29"/>
      <c r="ADV9" s="29"/>
      <c r="ADW9" s="29"/>
      <c r="ADX9" s="29"/>
      <c r="ADY9" s="29"/>
      <c r="ADZ9" s="29"/>
      <c r="AEA9" s="29"/>
      <c r="AEB9" s="29"/>
      <c r="AEC9" s="29"/>
      <c r="AED9" s="29"/>
      <c r="AEE9" s="29"/>
      <c r="AEF9" s="29"/>
      <c r="AEG9" s="29"/>
      <c r="AEH9" s="29"/>
      <c r="AEI9" s="29"/>
      <c r="AEJ9" s="29"/>
      <c r="AEK9" s="29"/>
      <c r="AEL9" s="29"/>
      <c r="AEM9" s="29"/>
      <c r="AEN9" s="29"/>
      <c r="AEO9" s="29"/>
      <c r="AEP9" s="29"/>
      <c r="AEQ9" s="29"/>
      <c r="AER9" s="29"/>
      <c r="AES9" s="29"/>
      <c r="AET9" s="29"/>
      <c r="AEU9" s="29"/>
      <c r="AEV9" s="29"/>
      <c r="AEW9" s="29"/>
      <c r="AEX9" s="29"/>
      <c r="AEY9" s="29"/>
      <c r="AEZ9" s="29"/>
      <c r="AFA9" s="29"/>
      <c r="AFB9" s="29"/>
      <c r="AFC9" s="29"/>
      <c r="AFD9" s="29"/>
      <c r="AFE9" s="29"/>
      <c r="AFF9" s="29"/>
      <c r="AFG9" s="29"/>
      <c r="AFH9" s="29"/>
      <c r="AFI9" s="29"/>
      <c r="AFJ9" s="29"/>
      <c r="AFK9" s="29"/>
      <c r="AFL9" s="29"/>
      <c r="AFM9" s="29"/>
      <c r="AFN9" s="29"/>
      <c r="AFO9" s="29"/>
      <c r="AFP9" s="29"/>
      <c r="AFQ9" s="29"/>
      <c r="AFR9" s="29"/>
      <c r="AFS9" s="29"/>
      <c r="AFT9" s="29"/>
      <c r="AFU9" s="29"/>
      <c r="AFV9" s="29"/>
      <c r="AFW9" s="29"/>
      <c r="AFX9" s="29"/>
      <c r="AFY9" s="29"/>
      <c r="AFZ9" s="29"/>
      <c r="AGA9" s="29"/>
      <c r="AGB9" s="29"/>
      <c r="AGC9" s="29"/>
      <c r="AGD9" s="29"/>
      <c r="AGE9" s="29"/>
      <c r="AGF9" s="29"/>
      <c r="AGG9" s="29"/>
      <c r="AGH9" s="29"/>
      <c r="AGI9" s="29"/>
      <c r="AGJ9" s="29"/>
      <c r="AGK9" s="29"/>
      <c r="AGL9" s="29"/>
      <c r="AGM9" s="29"/>
      <c r="AGN9" s="29"/>
      <c r="AGO9" s="29"/>
      <c r="AGP9" s="29"/>
      <c r="AGQ9" s="29"/>
      <c r="AGR9" s="29"/>
      <c r="AGS9" s="29"/>
      <c r="AGT9" s="29"/>
      <c r="AGU9" s="29"/>
      <c r="AGV9" s="29"/>
      <c r="AGW9" s="29"/>
      <c r="AGX9" s="29"/>
      <c r="AGY9" s="29"/>
      <c r="AGZ9" s="29"/>
      <c r="AHA9" s="29"/>
      <c r="AHB9" s="29"/>
      <c r="AHC9" s="29"/>
      <c r="AHD9" s="29"/>
      <c r="AHE9" s="29"/>
      <c r="AHF9" s="29"/>
      <c r="AHG9" s="29"/>
      <c r="AHH9" s="29"/>
      <c r="AHI9" s="29"/>
      <c r="AHJ9" s="29"/>
      <c r="AHK9" s="29"/>
      <c r="AHL9" s="29"/>
      <c r="AHM9" s="29"/>
      <c r="AHN9" s="29"/>
      <c r="AHO9" s="29"/>
      <c r="AHP9" s="29"/>
      <c r="AHQ9" s="29"/>
      <c r="AHR9" s="29"/>
      <c r="AHS9" s="29"/>
      <c r="AHT9" s="29"/>
      <c r="AHU9" s="29"/>
      <c r="AHV9" s="29"/>
      <c r="AHW9" s="29"/>
      <c r="AHX9" s="29"/>
      <c r="AHY9" s="29"/>
      <c r="AHZ9" s="29"/>
      <c r="AIA9" s="29"/>
      <c r="AIB9" s="29"/>
      <c r="AIC9" s="29"/>
      <c r="AID9" s="29"/>
      <c r="AIE9" s="29"/>
      <c r="AIF9" s="29"/>
      <c r="AIG9" s="29"/>
      <c r="AIH9" s="29"/>
      <c r="AII9" s="29"/>
      <c r="AIJ9" s="29"/>
      <c r="AIK9" s="29"/>
      <c r="AIL9" s="29"/>
      <c r="AIM9" s="29"/>
      <c r="AIN9" s="29"/>
      <c r="AIO9" s="29"/>
      <c r="AIP9" s="29"/>
      <c r="AIQ9" s="29"/>
      <c r="AIR9" s="29"/>
      <c r="AIS9" s="29"/>
      <c r="AIT9" s="29"/>
      <c r="AIU9" s="29"/>
      <c r="AIV9" s="29"/>
      <c r="AIW9" s="29"/>
      <c r="AIX9" s="29"/>
      <c r="AIY9" s="29"/>
      <c r="AIZ9" s="29"/>
      <c r="AJA9" s="29"/>
      <c r="AJB9" s="29"/>
      <c r="AJC9" s="29"/>
      <c r="AJD9" s="29"/>
      <c r="AJE9" s="29"/>
      <c r="AJF9" s="29"/>
      <c r="AJG9" s="29"/>
      <c r="AJH9" s="29"/>
      <c r="AJI9" s="29"/>
      <c r="AJJ9" s="29"/>
      <c r="AJK9" s="29"/>
      <c r="AJL9" s="29"/>
      <c r="AJM9" s="29"/>
      <c r="AJN9" s="29"/>
      <c r="AJO9" s="29"/>
      <c r="AJP9" s="29"/>
      <c r="AJQ9" s="29"/>
      <c r="AJR9" s="29"/>
      <c r="AJS9" s="29"/>
      <c r="AJT9" s="29"/>
      <c r="AJU9" s="29"/>
      <c r="AJV9" s="29"/>
      <c r="AJW9" s="29"/>
      <c r="AJX9" s="29"/>
      <c r="AJY9" s="29"/>
      <c r="AJZ9" s="29"/>
      <c r="AKA9" s="29"/>
      <c r="AKB9" s="29"/>
      <c r="AKC9" s="29"/>
      <c r="AKD9" s="29"/>
      <c r="AKE9" s="29"/>
      <c r="AKF9" s="29"/>
      <c r="AKG9" s="29"/>
      <c r="AKH9" s="29"/>
      <c r="AKI9" s="29"/>
      <c r="AKJ9" s="29"/>
      <c r="AKK9" s="29"/>
      <c r="AKL9" s="29"/>
      <c r="AKM9" s="29"/>
      <c r="AKN9" s="29"/>
      <c r="AKO9" s="29"/>
      <c r="AKP9" s="29"/>
      <c r="AKQ9" s="29"/>
      <c r="AKR9" s="29"/>
      <c r="AKS9" s="29"/>
      <c r="AKT9" s="29"/>
      <c r="AKU9" s="29"/>
      <c r="AKV9" s="29"/>
      <c r="AKW9" s="29"/>
      <c r="AKX9" s="29"/>
      <c r="AKY9" s="29"/>
      <c r="AKZ9" s="29"/>
      <c r="ALA9" s="29"/>
      <c r="ALB9" s="29"/>
      <c r="ALC9" s="29"/>
      <c r="ALD9" s="29"/>
      <c r="ALE9" s="29"/>
      <c r="ALF9" s="29"/>
      <c r="ALG9" s="29"/>
      <c r="ALH9" s="29"/>
      <c r="ALI9" s="29"/>
      <c r="ALJ9" s="29"/>
      <c r="ALK9" s="29"/>
      <c r="ALL9" s="29"/>
      <c r="ALM9" s="29"/>
      <c r="ALN9" s="29"/>
      <c r="ALO9" s="29"/>
      <c r="ALP9" s="29"/>
      <c r="ALQ9" s="29"/>
      <c r="ALR9" s="29"/>
      <c r="ALS9" s="29"/>
      <c r="ALT9" s="29"/>
      <c r="ALU9" s="29"/>
      <c r="ALV9" s="29"/>
      <c r="ALW9" s="29"/>
      <c r="ALX9" s="29"/>
      <c r="ALY9" s="29"/>
      <c r="ALZ9" s="29"/>
      <c r="AMA9" s="29"/>
      <c r="AMB9" s="29"/>
      <c r="AMC9" s="29"/>
      <c r="AMD9" s="29"/>
      <c r="AME9" s="29"/>
    </row>
    <row r="10" customFormat="false" ht="22.5" hidden="false" customHeight="true" outlineLevel="0" collapsed="false">
      <c r="A10" s="29"/>
      <c r="B10" s="31"/>
      <c r="C10" s="35" t="s">
        <v>26</v>
      </c>
      <c r="D10" s="35" t="s">
        <v>27</v>
      </c>
      <c r="E10" s="35" t="s">
        <v>28</v>
      </c>
      <c r="F10" s="36" t="s">
        <v>26</v>
      </c>
      <c r="G10" s="36" t="s">
        <v>27</v>
      </c>
      <c r="H10" s="36" t="s">
        <v>28</v>
      </c>
      <c r="I10" s="36" t="s">
        <v>29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34"/>
      <c r="IQ10" s="29"/>
      <c r="IR10" s="29"/>
      <c r="IS10" s="29"/>
      <c r="IT10" s="29"/>
      <c r="IU10" s="29"/>
      <c r="IV10" s="29"/>
      <c r="IW10" s="29"/>
      <c r="IX10" s="29"/>
      <c r="IY10" s="29"/>
      <c r="IZ10" s="29"/>
      <c r="JA10" s="29"/>
      <c r="JB10" s="29"/>
      <c r="JC10" s="29"/>
      <c r="JD10" s="29"/>
      <c r="JE10" s="29"/>
      <c r="JF10" s="29"/>
      <c r="JG10" s="29"/>
      <c r="JH10" s="29"/>
      <c r="JI10" s="29"/>
      <c r="JJ10" s="29"/>
      <c r="JK10" s="29"/>
      <c r="JL10" s="29"/>
      <c r="JM10" s="29"/>
      <c r="JN10" s="29"/>
      <c r="JO10" s="29"/>
      <c r="JP10" s="29"/>
      <c r="JQ10" s="29"/>
      <c r="JR10" s="29"/>
      <c r="JS10" s="29"/>
      <c r="JT10" s="29"/>
      <c r="JU10" s="29"/>
      <c r="JV10" s="29"/>
      <c r="JW10" s="29"/>
      <c r="JX10" s="29"/>
      <c r="JY10" s="29"/>
      <c r="JZ10" s="29"/>
      <c r="KA10" s="29"/>
      <c r="KB10" s="29"/>
      <c r="KC10" s="29"/>
      <c r="KD10" s="29"/>
      <c r="KE10" s="29"/>
      <c r="KF10" s="29"/>
      <c r="KG10" s="29"/>
      <c r="KH10" s="29"/>
      <c r="KI10" s="29"/>
      <c r="KJ10" s="29"/>
      <c r="KK10" s="29"/>
      <c r="KL10" s="29"/>
      <c r="KM10" s="29"/>
      <c r="KN10" s="29"/>
      <c r="KO10" s="29"/>
      <c r="KP10" s="29"/>
      <c r="KQ10" s="29"/>
      <c r="KR10" s="29"/>
      <c r="KS10" s="29"/>
      <c r="KT10" s="29"/>
      <c r="KU10" s="29"/>
      <c r="KV10" s="29"/>
      <c r="KW10" s="29"/>
      <c r="KX10" s="29"/>
      <c r="KY10" s="29"/>
      <c r="KZ10" s="29"/>
      <c r="LA10" s="29"/>
      <c r="LB10" s="29"/>
      <c r="LC10" s="29"/>
      <c r="LD10" s="29"/>
      <c r="LE10" s="29"/>
      <c r="LF10" s="29"/>
      <c r="LG10" s="29"/>
      <c r="LH10" s="29"/>
      <c r="LI10" s="29"/>
      <c r="LJ10" s="29"/>
      <c r="LK10" s="29"/>
      <c r="LL10" s="29"/>
      <c r="LM10" s="29"/>
      <c r="LN10" s="29"/>
      <c r="LO10" s="29"/>
      <c r="LP10" s="29"/>
      <c r="LQ10" s="29"/>
      <c r="LR10" s="29"/>
      <c r="LS10" s="29"/>
      <c r="LT10" s="29"/>
      <c r="LU10" s="29"/>
      <c r="LV10" s="29"/>
      <c r="LW10" s="29"/>
      <c r="LX10" s="29"/>
      <c r="LY10" s="29"/>
      <c r="LZ10" s="29"/>
      <c r="MA10" s="29"/>
      <c r="MB10" s="29"/>
      <c r="MC10" s="29"/>
      <c r="MD10" s="29"/>
      <c r="ME10" s="29"/>
      <c r="MF10" s="29"/>
      <c r="MG10" s="29"/>
      <c r="MH10" s="29"/>
      <c r="MI10" s="29"/>
      <c r="MJ10" s="29"/>
      <c r="MK10" s="29"/>
      <c r="ML10" s="29"/>
      <c r="MM10" s="29"/>
      <c r="MN10" s="29"/>
      <c r="MO10" s="29"/>
      <c r="MP10" s="29"/>
      <c r="MQ10" s="29"/>
      <c r="MR10" s="29"/>
      <c r="MS10" s="29"/>
      <c r="MT10" s="29"/>
      <c r="MU10" s="29"/>
      <c r="MV10" s="29"/>
      <c r="MW10" s="29"/>
      <c r="MX10" s="29"/>
      <c r="MY10" s="29"/>
      <c r="MZ10" s="29"/>
      <c r="NA10" s="29"/>
      <c r="NB10" s="29"/>
      <c r="NC10" s="29"/>
      <c r="ND10" s="29"/>
      <c r="NE10" s="29"/>
      <c r="NF10" s="29"/>
      <c r="NG10" s="29"/>
      <c r="NH10" s="29"/>
      <c r="NI10" s="29"/>
      <c r="NJ10" s="29"/>
      <c r="NK10" s="29"/>
      <c r="NL10" s="29"/>
      <c r="NM10" s="29"/>
      <c r="NN10" s="29"/>
      <c r="NO10" s="29"/>
      <c r="NP10" s="29"/>
      <c r="NQ10" s="29"/>
      <c r="NR10" s="29"/>
      <c r="NS10" s="29"/>
      <c r="NT10" s="29"/>
      <c r="NU10" s="29"/>
      <c r="NV10" s="29"/>
      <c r="NW10" s="29"/>
      <c r="NX10" s="29"/>
      <c r="NY10" s="29"/>
      <c r="NZ10" s="29"/>
      <c r="OA10" s="29"/>
      <c r="OB10" s="29"/>
      <c r="OC10" s="29"/>
      <c r="OD10" s="29"/>
      <c r="OE10" s="29"/>
      <c r="OF10" s="29"/>
      <c r="OG10" s="29"/>
      <c r="OH10" s="29"/>
      <c r="OI10" s="29"/>
      <c r="OJ10" s="29"/>
      <c r="OK10" s="29"/>
      <c r="OL10" s="29"/>
      <c r="OM10" s="29"/>
      <c r="ON10" s="29"/>
      <c r="OO10" s="29"/>
      <c r="OP10" s="29"/>
      <c r="OQ10" s="29"/>
      <c r="OR10" s="29"/>
      <c r="OS10" s="29"/>
      <c r="OT10" s="29"/>
      <c r="OU10" s="29"/>
      <c r="OV10" s="29"/>
      <c r="OW10" s="29"/>
      <c r="OX10" s="29"/>
      <c r="OY10" s="29"/>
      <c r="OZ10" s="29"/>
      <c r="PA10" s="29"/>
      <c r="PB10" s="29"/>
      <c r="PC10" s="29"/>
      <c r="PD10" s="29"/>
      <c r="PE10" s="29"/>
      <c r="PF10" s="29"/>
      <c r="PG10" s="29"/>
      <c r="PH10" s="29"/>
      <c r="PI10" s="29"/>
      <c r="PJ10" s="29"/>
      <c r="PK10" s="29"/>
      <c r="PL10" s="29"/>
      <c r="PM10" s="29"/>
      <c r="PN10" s="29"/>
      <c r="PO10" s="29"/>
      <c r="PP10" s="29"/>
      <c r="PQ10" s="29"/>
      <c r="PR10" s="29"/>
      <c r="PS10" s="29"/>
      <c r="PT10" s="29"/>
      <c r="PU10" s="29"/>
      <c r="PV10" s="29"/>
      <c r="PW10" s="29"/>
      <c r="PX10" s="29"/>
      <c r="PY10" s="29"/>
      <c r="PZ10" s="29"/>
      <c r="QA10" s="29"/>
      <c r="QB10" s="29"/>
      <c r="QC10" s="29"/>
      <c r="QD10" s="29"/>
      <c r="QE10" s="29"/>
      <c r="QF10" s="29"/>
      <c r="QG10" s="29"/>
      <c r="QH10" s="29"/>
      <c r="QI10" s="29"/>
      <c r="QJ10" s="29"/>
      <c r="QK10" s="29"/>
      <c r="QL10" s="29"/>
      <c r="QM10" s="29"/>
      <c r="QN10" s="29"/>
      <c r="QO10" s="29"/>
      <c r="QP10" s="29"/>
      <c r="QQ10" s="29"/>
      <c r="QR10" s="29"/>
      <c r="QS10" s="29"/>
      <c r="QT10" s="29"/>
      <c r="QU10" s="29"/>
      <c r="QV10" s="29"/>
      <c r="QW10" s="29"/>
      <c r="QX10" s="29"/>
      <c r="QY10" s="29"/>
      <c r="QZ10" s="29"/>
      <c r="RA10" s="29"/>
      <c r="RB10" s="29"/>
      <c r="RC10" s="29"/>
      <c r="RD10" s="29"/>
      <c r="RE10" s="29"/>
      <c r="RF10" s="29"/>
      <c r="RG10" s="29"/>
      <c r="RH10" s="29"/>
      <c r="RI10" s="29"/>
      <c r="RJ10" s="29"/>
      <c r="RK10" s="29"/>
      <c r="RL10" s="29"/>
      <c r="RM10" s="29"/>
      <c r="RN10" s="29"/>
      <c r="RO10" s="29"/>
      <c r="RP10" s="29"/>
      <c r="RQ10" s="29"/>
      <c r="RR10" s="29"/>
      <c r="RS10" s="29"/>
      <c r="RT10" s="29"/>
      <c r="RU10" s="29"/>
      <c r="RV10" s="29"/>
      <c r="RW10" s="29"/>
      <c r="RX10" s="29"/>
      <c r="RY10" s="29"/>
      <c r="RZ10" s="29"/>
      <c r="SA10" s="29"/>
      <c r="SB10" s="29"/>
      <c r="SC10" s="29"/>
      <c r="SD10" s="29"/>
      <c r="SE10" s="29"/>
      <c r="SF10" s="29"/>
      <c r="SG10" s="29"/>
      <c r="SH10" s="29"/>
      <c r="SI10" s="29"/>
      <c r="SJ10" s="29"/>
      <c r="SK10" s="29"/>
      <c r="SL10" s="29"/>
      <c r="SM10" s="29"/>
      <c r="SN10" s="29"/>
      <c r="SO10" s="29"/>
      <c r="SP10" s="29"/>
      <c r="SQ10" s="29"/>
      <c r="SR10" s="29"/>
      <c r="SS10" s="29"/>
      <c r="ST10" s="29"/>
      <c r="SU10" s="29"/>
      <c r="SV10" s="29"/>
      <c r="SW10" s="29"/>
      <c r="SX10" s="29"/>
      <c r="SY10" s="29"/>
      <c r="SZ10" s="29"/>
      <c r="TA10" s="29"/>
      <c r="TB10" s="29"/>
      <c r="TC10" s="29"/>
      <c r="TD10" s="29"/>
      <c r="TE10" s="29"/>
      <c r="TF10" s="29"/>
      <c r="TG10" s="29"/>
      <c r="TH10" s="29"/>
      <c r="TI10" s="29"/>
      <c r="TJ10" s="29"/>
      <c r="TK10" s="29"/>
      <c r="TL10" s="29"/>
      <c r="TM10" s="29"/>
      <c r="TN10" s="29"/>
      <c r="TO10" s="29"/>
      <c r="TP10" s="29"/>
      <c r="TQ10" s="29"/>
      <c r="TR10" s="29"/>
      <c r="TS10" s="29"/>
      <c r="TT10" s="29"/>
      <c r="TU10" s="29"/>
      <c r="TV10" s="29"/>
      <c r="TW10" s="29"/>
      <c r="TX10" s="29"/>
      <c r="TY10" s="29"/>
      <c r="TZ10" s="29"/>
      <c r="UA10" s="29"/>
      <c r="UB10" s="29"/>
      <c r="UC10" s="29"/>
      <c r="UD10" s="29"/>
      <c r="UE10" s="29"/>
      <c r="UF10" s="29"/>
      <c r="UG10" s="29"/>
      <c r="UH10" s="29"/>
      <c r="UI10" s="29"/>
      <c r="UJ10" s="29"/>
      <c r="UK10" s="29"/>
      <c r="UL10" s="29"/>
      <c r="UM10" s="29"/>
      <c r="UN10" s="29"/>
      <c r="UO10" s="29"/>
      <c r="UP10" s="29"/>
      <c r="UQ10" s="29"/>
      <c r="UR10" s="29"/>
      <c r="US10" s="29"/>
      <c r="UT10" s="29"/>
      <c r="UU10" s="29"/>
      <c r="UV10" s="29"/>
      <c r="UW10" s="29"/>
      <c r="UX10" s="29"/>
      <c r="UY10" s="29"/>
      <c r="UZ10" s="29"/>
      <c r="VA10" s="29"/>
      <c r="VB10" s="29"/>
      <c r="VC10" s="29"/>
      <c r="VD10" s="29"/>
      <c r="VE10" s="29"/>
      <c r="VF10" s="29"/>
      <c r="VG10" s="29"/>
      <c r="VH10" s="29"/>
      <c r="VI10" s="29"/>
      <c r="VJ10" s="29"/>
      <c r="VK10" s="29"/>
      <c r="VL10" s="29"/>
      <c r="VM10" s="29"/>
      <c r="VN10" s="29"/>
      <c r="VO10" s="29"/>
      <c r="VP10" s="29"/>
      <c r="VQ10" s="29"/>
      <c r="VR10" s="29"/>
      <c r="VS10" s="29"/>
      <c r="VT10" s="29"/>
      <c r="VU10" s="29"/>
      <c r="VV10" s="29"/>
      <c r="VW10" s="29"/>
      <c r="VX10" s="29"/>
      <c r="VY10" s="29"/>
      <c r="VZ10" s="29"/>
      <c r="WA10" s="29"/>
      <c r="WB10" s="29"/>
      <c r="WC10" s="29"/>
      <c r="WD10" s="29"/>
      <c r="WE10" s="29"/>
      <c r="WF10" s="29"/>
      <c r="WG10" s="29"/>
      <c r="WH10" s="29"/>
      <c r="WI10" s="29"/>
      <c r="WJ10" s="29"/>
      <c r="WK10" s="29"/>
      <c r="WL10" s="29"/>
      <c r="WM10" s="29"/>
      <c r="WN10" s="29"/>
      <c r="WO10" s="29"/>
      <c r="WP10" s="29"/>
      <c r="WQ10" s="29"/>
      <c r="WR10" s="29"/>
      <c r="WS10" s="29"/>
      <c r="WT10" s="29"/>
      <c r="WU10" s="29"/>
      <c r="WV10" s="29"/>
      <c r="WW10" s="29"/>
      <c r="WX10" s="29"/>
      <c r="WY10" s="29"/>
      <c r="WZ10" s="29"/>
      <c r="XA10" s="29"/>
      <c r="XB10" s="29"/>
      <c r="XC10" s="29"/>
      <c r="XD10" s="29"/>
      <c r="XE10" s="29"/>
      <c r="XF10" s="29"/>
      <c r="XG10" s="29"/>
      <c r="XH10" s="29"/>
      <c r="XI10" s="29"/>
      <c r="XJ10" s="29"/>
      <c r="XK10" s="29"/>
      <c r="XL10" s="29"/>
      <c r="XM10" s="29"/>
      <c r="XN10" s="29"/>
      <c r="XO10" s="29"/>
      <c r="XP10" s="29"/>
      <c r="XQ10" s="29"/>
      <c r="XR10" s="29"/>
      <c r="XS10" s="29"/>
      <c r="XT10" s="29"/>
      <c r="XU10" s="29"/>
      <c r="XV10" s="29"/>
      <c r="XW10" s="29"/>
      <c r="XX10" s="29"/>
      <c r="XY10" s="29"/>
      <c r="XZ10" s="29"/>
      <c r="YA10" s="29"/>
      <c r="YB10" s="29"/>
      <c r="YC10" s="29"/>
      <c r="YD10" s="29"/>
      <c r="YE10" s="29"/>
      <c r="YF10" s="29"/>
      <c r="YG10" s="29"/>
      <c r="YH10" s="29"/>
      <c r="YI10" s="29"/>
      <c r="YJ10" s="29"/>
      <c r="YK10" s="29"/>
      <c r="YL10" s="29"/>
      <c r="YM10" s="29"/>
      <c r="YN10" s="29"/>
      <c r="YO10" s="29"/>
      <c r="YP10" s="29"/>
      <c r="YQ10" s="29"/>
      <c r="YR10" s="29"/>
      <c r="YS10" s="29"/>
      <c r="YT10" s="29"/>
      <c r="YU10" s="29"/>
      <c r="YV10" s="29"/>
      <c r="YW10" s="29"/>
      <c r="YX10" s="29"/>
      <c r="YY10" s="29"/>
      <c r="YZ10" s="29"/>
      <c r="ZA10" s="29"/>
      <c r="ZB10" s="29"/>
      <c r="ZC10" s="29"/>
      <c r="ZD10" s="29"/>
      <c r="ZE10" s="29"/>
      <c r="ZF10" s="29"/>
      <c r="ZG10" s="29"/>
      <c r="ZH10" s="29"/>
      <c r="ZI10" s="29"/>
      <c r="ZJ10" s="29"/>
      <c r="ZK10" s="29"/>
      <c r="ZL10" s="29"/>
      <c r="ZM10" s="29"/>
      <c r="ZN10" s="29"/>
      <c r="ZO10" s="29"/>
      <c r="ZP10" s="29"/>
      <c r="ZQ10" s="29"/>
      <c r="ZR10" s="29"/>
      <c r="ZS10" s="29"/>
      <c r="ZT10" s="29"/>
      <c r="ZU10" s="29"/>
      <c r="ZV10" s="29"/>
      <c r="ZW10" s="29"/>
      <c r="ZX10" s="29"/>
      <c r="ZY10" s="29"/>
      <c r="ZZ10" s="29"/>
      <c r="AAA10" s="29"/>
      <c r="AAB10" s="29"/>
      <c r="AAC10" s="29"/>
      <c r="AAD10" s="29"/>
      <c r="AAE10" s="29"/>
      <c r="AAF10" s="29"/>
      <c r="AAG10" s="29"/>
      <c r="AAH10" s="29"/>
      <c r="AAI10" s="29"/>
      <c r="AAJ10" s="29"/>
      <c r="AAK10" s="29"/>
      <c r="AAL10" s="29"/>
      <c r="AAM10" s="29"/>
      <c r="AAN10" s="29"/>
      <c r="AAO10" s="29"/>
      <c r="AAP10" s="29"/>
      <c r="AAQ10" s="29"/>
      <c r="AAR10" s="29"/>
      <c r="AAS10" s="29"/>
      <c r="AAT10" s="29"/>
      <c r="AAU10" s="29"/>
      <c r="AAV10" s="29"/>
      <c r="AAW10" s="29"/>
      <c r="AAX10" s="29"/>
      <c r="AAY10" s="29"/>
      <c r="AAZ10" s="29"/>
      <c r="ABA10" s="29"/>
      <c r="ABB10" s="29"/>
      <c r="ABC10" s="29"/>
      <c r="ABD10" s="29"/>
      <c r="ABE10" s="29"/>
      <c r="ABF10" s="29"/>
      <c r="ABG10" s="29"/>
      <c r="ABH10" s="29"/>
      <c r="ABI10" s="29"/>
      <c r="ABJ10" s="29"/>
      <c r="ABK10" s="29"/>
      <c r="ABL10" s="29"/>
      <c r="ABM10" s="29"/>
      <c r="ABN10" s="29"/>
      <c r="ABO10" s="29"/>
      <c r="ABP10" s="29"/>
      <c r="ABQ10" s="29"/>
      <c r="ABR10" s="29"/>
      <c r="ABS10" s="29"/>
      <c r="ABT10" s="29"/>
      <c r="ABU10" s="29"/>
      <c r="ABV10" s="29"/>
      <c r="ABW10" s="29"/>
      <c r="ABX10" s="29"/>
      <c r="ABY10" s="29"/>
      <c r="ABZ10" s="29"/>
      <c r="ACA10" s="29"/>
      <c r="ACB10" s="29"/>
      <c r="ACC10" s="29"/>
      <c r="ACD10" s="29"/>
      <c r="ACE10" s="29"/>
      <c r="ACF10" s="29"/>
      <c r="ACG10" s="29"/>
      <c r="ACH10" s="29"/>
      <c r="ACI10" s="29"/>
      <c r="ACJ10" s="29"/>
      <c r="ACK10" s="29"/>
      <c r="ACL10" s="29"/>
      <c r="ACM10" s="29"/>
      <c r="ACN10" s="29"/>
      <c r="ACO10" s="29"/>
      <c r="ACP10" s="29"/>
      <c r="ACQ10" s="29"/>
      <c r="ACR10" s="29"/>
      <c r="ACS10" s="29"/>
      <c r="ACT10" s="29"/>
      <c r="ACU10" s="29"/>
      <c r="ACV10" s="29"/>
      <c r="ACW10" s="29"/>
      <c r="ACX10" s="29"/>
      <c r="ACY10" s="29"/>
      <c r="ACZ10" s="29"/>
      <c r="ADA10" s="29"/>
      <c r="ADB10" s="29"/>
      <c r="ADC10" s="29"/>
      <c r="ADD10" s="29"/>
      <c r="ADE10" s="29"/>
      <c r="ADF10" s="29"/>
      <c r="ADG10" s="29"/>
      <c r="ADH10" s="29"/>
      <c r="ADI10" s="29"/>
      <c r="ADJ10" s="29"/>
      <c r="ADK10" s="29"/>
      <c r="ADL10" s="29"/>
      <c r="ADM10" s="29"/>
      <c r="ADN10" s="29"/>
      <c r="ADO10" s="29"/>
      <c r="ADP10" s="29"/>
      <c r="ADQ10" s="29"/>
      <c r="ADR10" s="29"/>
      <c r="ADS10" s="29"/>
      <c r="ADT10" s="29"/>
      <c r="ADU10" s="29"/>
      <c r="ADV10" s="29"/>
      <c r="ADW10" s="29"/>
      <c r="ADX10" s="29"/>
      <c r="ADY10" s="29"/>
      <c r="ADZ10" s="29"/>
      <c r="AEA10" s="29"/>
      <c r="AEB10" s="29"/>
      <c r="AEC10" s="29"/>
      <c r="AED10" s="29"/>
      <c r="AEE10" s="29"/>
      <c r="AEF10" s="29"/>
      <c r="AEG10" s="29"/>
      <c r="AEH10" s="29"/>
      <c r="AEI10" s="29"/>
      <c r="AEJ10" s="29"/>
      <c r="AEK10" s="29"/>
      <c r="AEL10" s="29"/>
      <c r="AEM10" s="29"/>
      <c r="AEN10" s="29"/>
      <c r="AEO10" s="29"/>
      <c r="AEP10" s="29"/>
      <c r="AEQ10" s="29"/>
      <c r="AER10" s="29"/>
      <c r="AES10" s="29"/>
      <c r="AET10" s="29"/>
      <c r="AEU10" s="29"/>
      <c r="AEV10" s="29"/>
      <c r="AEW10" s="29"/>
      <c r="AEX10" s="29"/>
      <c r="AEY10" s="29"/>
      <c r="AEZ10" s="29"/>
      <c r="AFA10" s="29"/>
      <c r="AFB10" s="29"/>
      <c r="AFC10" s="29"/>
      <c r="AFD10" s="29"/>
      <c r="AFE10" s="29"/>
      <c r="AFF10" s="29"/>
      <c r="AFG10" s="29"/>
      <c r="AFH10" s="29"/>
      <c r="AFI10" s="29"/>
      <c r="AFJ10" s="29"/>
      <c r="AFK10" s="29"/>
      <c r="AFL10" s="29"/>
      <c r="AFM10" s="29"/>
      <c r="AFN10" s="29"/>
      <c r="AFO10" s="29"/>
      <c r="AFP10" s="29"/>
      <c r="AFQ10" s="29"/>
      <c r="AFR10" s="29"/>
      <c r="AFS10" s="29"/>
      <c r="AFT10" s="29"/>
      <c r="AFU10" s="29"/>
      <c r="AFV10" s="29"/>
      <c r="AFW10" s="29"/>
      <c r="AFX10" s="29"/>
      <c r="AFY10" s="29"/>
      <c r="AFZ10" s="29"/>
      <c r="AGA10" s="29"/>
      <c r="AGB10" s="29"/>
      <c r="AGC10" s="29"/>
      <c r="AGD10" s="29"/>
      <c r="AGE10" s="29"/>
      <c r="AGF10" s="29"/>
      <c r="AGG10" s="29"/>
      <c r="AGH10" s="29"/>
      <c r="AGI10" s="29"/>
      <c r="AGJ10" s="29"/>
      <c r="AGK10" s="29"/>
      <c r="AGL10" s="29"/>
      <c r="AGM10" s="29"/>
      <c r="AGN10" s="29"/>
      <c r="AGO10" s="29"/>
      <c r="AGP10" s="29"/>
      <c r="AGQ10" s="29"/>
      <c r="AGR10" s="29"/>
      <c r="AGS10" s="29"/>
      <c r="AGT10" s="29"/>
      <c r="AGU10" s="29"/>
      <c r="AGV10" s="29"/>
      <c r="AGW10" s="29"/>
      <c r="AGX10" s="29"/>
      <c r="AGY10" s="29"/>
      <c r="AGZ10" s="29"/>
      <c r="AHA10" s="29"/>
      <c r="AHB10" s="29"/>
      <c r="AHC10" s="29"/>
      <c r="AHD10" s="29"/>
      <c r="AHE10" s="29"/>
      <c r="AHF10" s="29"/>
      <c r="AHG10" s="29"/>
      <c r="AHH10" s="29"/>
      <c r="AHI10" s="29"/>
      <c r="AHJ10" s="29"/>
      <c r="AHK10" s="29"/>
      <c r="AHL10" s="29"/>
      <c r="AHM10" s="29"/>
      <c r="AHN10" s="29"/>
      <c r="AHO10" s="29"/>
      <c r="AHP10" s="29"/>
      <c r="AHQ10" s="29"/>
      <c r="AHR10" s="29"/>
      <c r="AHS10" s="29"/>
      <c r="AHT10" s="29"/>
      <c r="AHU10" s="29"/>
      <c r="AHV10" s="29"/>
      <c r="AHW10" s="29"/>
      <c r="AHX10" s="29"/>
      <c r="AHY10" s="29"/>
      <c r="AHZ10" s="29"/>
      <c r="AIA10" s="29"/>
      <c r="AIB10" s="29"/>
      <c r="AIC10" s="29"/>
      <c r="AID10" s="29"/>
      <c r="AIE10" s="29"/>
      <c r="AIF10" s="29"/>
      <c r="AIG10" s="29"/>
      <c r="AIH10" s="29"/>
      <c r="AII10" s="29"/>
      <c r="AIJ10" s="29"/>
      <c r="AIK10" s="29"/>
      <c r="AIL10" s="29"/>
      <c r="AIM10" s="29"/>
      <c r="AIN10" s="29"/>
      <c r="AIO10" s="29"/>
      <c r="AIP10" s="29"/>
      <c r="AIQ10" s="29"/>
      <c r="AIR10" s="29"/>
      <c r="AIS10" s="29"/>
      <c r="AIT10" s="29"/>
      <c r="AIU10" s="29"/>
      <c r="AIV10" s="29"/>
      <c r="AIW10" s="29"/>
      <c r="AIX10" s="29"/>
      <c r="AIY10" s="29"/>
      <c r="AIZ10" s="29"/>
      <c r="AJA10" s="29"/>
      <c r="AJB10" s="29"/>
      <c r="AJC10" s="29"/>
      <c r="AJD10" s="29"/>
      <c r="AJE10" s="29"/>
      <c r="AJF10" s="29"/>
      <c r="AJG10" s="29"/>
      <c r="AJH10" s="29"/>
      <c r="AJI10" s="29"/>
      <c r="AJJ10" s="29"/>
      <c r="AJK10" s="29"/>
      <c r="AJL10" s="29"/>
      <c r="AJM10" s="29"/>
      <c r="AJN10" s="29"/>
      <c r="AJO10" s="29"/>
      <c r="AJP10" s="29"/>
      <c r="AJQ10" s="29"/>
      <c r="AJR10" s="29"/>
      <c r="AJS10" s="29"/>
      <c r="AJT10" s="29"/>
      <c r="AJU10" s="29"/>
      <c r="AJV10" s="29"/>
      <c r="AJW10" s="29"/>
      <c r="AJX10" s="29"/>
      <c r="AJY10" s="29"/>
      <c r="AJZ10" s="29"/>
      <c r="AKA10" s="29"/>
      <c r="AKB10" s="29"/>
      <c r="AKC10" s="29"/>
      <c r="AKD10" s="29"/>
      <c r="AKE10" s="29"/>
      <c r="AKF10" s="29"/>
      <c r="AKG10" s="29"/>
      <c r="AKH10" s="29"/>
      <c r="AKI10" s="29"/>
      <c r="AKJ10" s="29"/>
      <c r="AKK10" s="29"/>
      <c r="AKL10" s="29"/>
      <c r="AKM10" s="29"/>
      <c r="AKN10" s="29"/>
      <c r="AKO10" s="29"/>
      <c r="AKP10" s="29"/>
      <c r="AKQ10" s="29"/>
      <c r="AKR10" s="29"/>
      <c r="AKS10" s="29"/>
      <c r="AKT10" s="29"/>
      <c r="AKU10" s="29"/>
      <c r="AKV10" s="29"/>
      <c r="AKW10" s="29"/>
      <c r="AKX10" s="29"/>
      <c r="AKY10" s="29"/>
      <c r="AKZ10" s="29"/>
      <c r="ALA10" s="29"/>
      <c r="ALB10" s="29"/>
      <c r="ALC10" s="29"/>
      <c r="ALD10" s="29"/>
      <c r="ALE10" s="29"/>
      <c r="ALF10" s="29"/>
      <c r="ALG10" s="29"/>
      <c r="ALH10" s="29"/>
      <c r="ALI10" s="29"/>
      <c r="ALJ10" s="29"/>
      <c r="ALK10" s="29"/>
      <c r="ALL10" s="29"/>
      <c r="ALM10" s="29"/>
      <c r="ALN10" s="29"/>
      <c r="ALO10" s="29"/>
      <c r="ALP10" s="29"/>
      <c r="ALQ10" s="29"/>
      <c r="ALR10" s="29"/>
      <c r="ALS10" s="29"/>
      <c r="ALT10" s="29"/>
      <c r="ALU10" s="29"/>
      <c r="ALV10" s="29"/>
      <c r="ALW10" s="29"/>
      <c r="ALX10" s="29"/>
      <c r="ALY10" s="29"/>
      <c r="ALZ10" s="29"/>
      <c r="AMA10" s="29"/>
      <c r="AMB10" s="29"/>
      <c r="AMC10" s="29"/>
      <c r="AMD10" s="29"/>
      <c r="AME10" s="29"/>
    </row>
    <row r="11" customFormat="false" ht="16.5" hidden="false" customHeight="true" outlineLevel="0" collapsed="false">
      <c r="B11" s="23" t="str">
        <f aca="false">'Base Caxias do Sul'!B7</f>
        <v>GEX/APS CAXIAS DO SUL</v>
      </c>
      <c r="C11" s="25" t="n">
        <f aca="false">'Base Caxias do Sul'!AO7</f>
        <v>1711.1784260511</v>
      </c>
      <c r="D11" s="25" t="n">
        <f aca="false">C11*3</f>
        <v>5133.53527815329</v>
      </c>
      <c r="E11" s="25" t="n">
        <f aca="false">C11+D11</f>
        <v>6844.71370420438</v>
      </c>
      <c r="F11" s="25" t="n">
        <f aca="false">C11*12</f>
        <v>20534.1411126132</v>
      </c>
      <c r="G11" s="25" t="n">
        <f aca="false">F11*3</f>
        <v>61602.4233378395</v>
      </c>
      <c r="H11" s="25" t="n">
        <f aca="false">F11+G11</f>
        <v>82136.5644504526</v>
      </c>
      <c r="I11" s="37" t="n">
        <f aca="false">F11/$E$7</f>
        <v>0.0516310459613365</v>
      </c>
    </row>
    <row r="12" customFormat="false" ht="16.5" hidden="false" customHeight="true" outlineLevel="0" collapsed="false">
      <c r="B12" s="23" t="str">
        <f aca="false">'Base Caxias do Sul'!B8</f>
        <v>CEDOCPREV CAXIAS DO SUL</v>
      </c>
      <c r="C12" s="25" t="n">
        <f aca="false">'Base Caxias do Sul'!AO8</f>
        <v>743.75962792883</v>
      </c>
      <c r="D12" s="25" t="n">
        <f aca="false">C12*3</f>
        <v>2231.27888378649</v>
      </c>
      <c r="E12" s="25" t="n">
        <f aca="false">C12+D12</f>
        <v>2975.03851171532</v>
      </c>
      <c r="F12" s="25" t="n">
        <f aca="false">C12*12</f>
        <v>8925.11553514596</v>
      </c>
      <c r="G12" s="25" t="n">
        <f aca="false">F12*3</f>
        <v>26775.3466054379</v>
      </c>
      <c r="H12" s="25" t="n">
        <f aca="false">F12+G12</f>
        <v>35700.4621405838</v>
      </c>
      <c r="I12" s="37" t="n">
        <f aca="false">F12/$E$7</f>
        <v>0.0224413111743108</v>
      </c>
    </row>
    <row r="13" customFormat="false" ht="16.5" hidden="false" customHeight="true" outlineLevel="0" collapsed="false">
      <c r="B13" s="23" t="str">
        <f aca="false">'Base Caxias do Sul'!B9</f>
        <v>ARQUIVO RUA MARQUÊS DO HERVAL</v>
      </c>
      <c r="C13" s="25" t="n">
        <f aca="false">'Base Caxias do Sul'!AO9</f>
        <v>766.167579245011</v>
      </c>
      <c r="D13" s="25" t="n">
        <f aca="false">C13*3</f>
        <v>2298.50273773503</v>
      </c>
      <c r="E13" s="25" t="n">
        <f aca="false">C13+D13</f>
        <v>3064.67031698004</v>
      </c>
      <c r="F13" s="25" t="n">
        <f aca="false">C13*12</f>
        <v>9194.01095094013</v>
      </c>
      <c r="G13" s="25" t="n">
        <f aca="false">F13*3</f>
        <v>27582.0328528204</v>
      </c>
      <c r="H13" s="25" t="n">
        <f aca="false">F13+G13</f>
        <v>36776.0438037605</v>
      </c>
      <c r="I13" s="37" t="n">
        <f aca="false">F13/$E$7</f>
        <v>0.0231174218280519</v>
      </c>
    </row>
    <row r="14" customFormat="false" ht="16.5" hidden="false" customHeight="true" outlineLevel="0" collapsed="false">
      <c r="B14" s="23" t="str">
        <f aca="false">'Base Caxias do Sul'!B10</f>
        <v>APS FLORES DA CUNHA</v>
      </c>
      <c r="C14" s="25" t="n">
        <f aca="false">'Base Caxias do Sul'!AO10</f>
        <v>749.969273733625</v>
      </c>
      <c r="D14" s="25" t="n">
        <f aca="false">C14*3</f>
        <v>2249.90782120087</v>
      </c>
      <c r="E14" s="25" t="n">
        <f aca="false">C14+D14</f>
        <v>2999.8770949345</v>
      </c>
      <c r="F14" s="25" t="n">
        <f aca="false">C14*12</f>
        <v>8999.6312848035</v>
      </c>
      <c r="G14" s="25" t="n">
        <f aca="false">F14*3</f>
        <v>26998.8938544105</v>
      </c>
      <c r="H14" s="25" t="n">
        <f aca="false">F14+G14</f>
        <v>35998.525139214</v>
      </c>
      <c r="I14" s="37" t="n">
        <f aca="false">F14/$E$7</f>
        <v>0.0226286735808664</v>
      </c>
    </row>
    <row r="15" customFormat="false" ht="16.5" hidden="false" customHeight="true" outlineLevel="0" collapsed="false">
      <c r="B15" s="23" t="str">
        <f aca="false">'Base Caxias do Sul'!B11</f>
        <v>APS CARLOS BARBOSA</v>
      </c>
      <c r="C15" s="25" t="n">
        <f aca="false">'Base Caxias do Sul'!AO11</f>
        <v>850.187565119055</v>
      </c>
      <c r="D15" s="25" t="n">
        <f aca="false">C15*3</f>
        <v>2550.56269535717</v>
      </c>
      <c r="E15" s="25" t="n">
        <f aca="false">C15+D15</f>
        <v>3400.75026047622</v>
      </c>
      <c r="F15" s="25" t="n">
        <f aca="false">C15*12</f>
        <v>10202.2507814287</v>
      </c>
      <c r="G15" s="25" t="n">
        <f aca="false">F15*3</f>
        <v>30606.752344286</v>
      </c>
      <c r="H15" s="25" t="n">
        <f aca="false">F15+G15</f>
        <v>40809.0031257147</v>
      </c>
      <c r="I15" s="37" t="n">
        <f aca="false">F15/$E$7</f>
        <v>0.0256525401338294</v>
      </c>
    </row>
    <row r="16" customFormat="false" ht="16.5" hidden="false" customHeight="true" outlineLevel="0" collapsed="false">
      <c r="B16" s="23" t="str">
        <f aca="false">'Base Caxias do Sul'!B12</f>
        <v>APS GARIBALDI</v>
      </c>
      <c r="C16" s="25" t="n">
        <f aca="false">'Base Caxias do Sul'!AO12</f>
        <v>832.003895712992</v>
      </c>
      <c r="D16" s="25" t="n">
        <f aca="false">C16*3</f>
        <v>2496.01168713898</v>
      </c>
      <c r="E16" s="25" t="n">
        <f aca="false">C16+D16</f>
        <v>3328.01558285197</v>
      </c>
      <c r="F16" s="25" t="n">
        <f aca="false">C16*12</f>
        <v>9984.0467485559</v>
      </c>
      <c r="G16" s="25" t="n">
        <f aca="false">F16*3</f>
        <v>29952.1402456677</v>
      </c>
      <c r="H16" s="25" t="n">
        <f aca="false">F16+G16</f>
        <v>39936.1869942236</v>
      </c>
      <c r="I16" s="37" t="n">
        <f aca="false">F16/$E$7</f>
        <v>0.0251038878971267</v>
      </c>
    </row>
    <row r="17" customFormat="false" ht="16.5" hidden="false" customHeight="true" outlineLevel="0" collapsed="false">
      <c r="B17" s="23" t="str">
        <f aca="false">'Base Caxias do Sul'!B13</f>
        <v>APS BENTO GONÇALVES</v>
      </c>
      <c r="C17" s="25" t="n">
        <f aca="false">'Base Caxias do Sul'!AO13</f>
        <v>1060.37003953102</v>
      </c>
      <c r="D17" s="25" t="n">
        <f aca="false">C17*3</f>
        <v>3181.11011859307</v>
      </c>
      <c r="E17" s="25" t="n">
        <f aca="false">C17+D17</f>
        <v>4241.48015812409</v>
      </c>
      <c r="F17" s="25" t="n">
        <f aca="false">C17*12</f>
        <v>12724.4404743723</v>
      </c>
      <c r="G17" s="25" t="n">
        <f aca="false">F17*3</f>
        <v>38173.3214231168</v>
      </c>
      <c r="H17" s="25" t="n">
        <f aca="false">F17+G17</f>
        <v>50897.7618974891</v>
      </c>
      <c r="I17" s="37" t="n">
        <f aca="false">F17/$E$7</f>
        <v>0.0319943340878794</v>
      </c>
    </row>
    <row r="18" customFormat="false" ht="16.5" hidden="false" customHeight="true" outlineLevel="0" collapsed="false">
      <c r="B18" s="23" t="str">
        <f aca="false">'Base Caxias do Sul'!B14</f>
        <v>APS FARROUPILHA</v>
      </c>
      <c r="C18" s="25" t="n">
        <f aca="false">'Base Caxias do Sul'!AO14</f>
        <v>814.568251649425</v>
      </c>
      <c r="D18" s="25" t="n">
        <f aca="false">C18*3</f>
        <v>2443.70475494827</v>
      </c>
      <c r="E18" s="25" t="n">
        <f aca="false">C18+D18</f>
        <v>3258.2730065977</v>
      </c>
      <c r="F18" s="25" t="n">
        <f aca="false">C18*12</f>
        <v>9774.81901979309</v>
      </c>
      <c r="G18" s="25" t="n">
        <f aca="false">F18*3</f>
        <v>29324.4570593793</v>
      </c>
      <c r="H18" s="25" t="n">
        <f aca="false">F18+G18</f>
        <v>39099.2760791724</v>
      </c>
      <c r="I18" s="37" t="n">
        <f aca="false">F18/$E$7</f>
        <v>0.0245778056801548</v>
      </c>
    </row>
    <row r="19" customFormat="false" ht="16.5" hidden="false" customHeight="true" outlineLevel="0" collapsed="false">
      <c r="B19" s="23" t="str">
        <f aca="false">'Base Caxias do Sul'!B15</f>
        <v>APS CANELA</v>
      </c>
      <c r="C19" s="25" t="n">
        <f aca="false">'Base Caxias do Sul'!AO15</f>
        <v>1486.19212647576</v>
      </c>
      <c r="D19" s="25" t="n">
        <f aca="false">C19*3</f>
        <v>4458.57637942728</v>
      </c>
      <c r="E19" s="25" t="n">
        <f aca="false">C19+D19</f>
        <v>5944.76850590304</v>
      </c>
      <c r="F19" s="25" t="n">
        <f aca="false">C19*12</f>
        <v>17834.3055177091</v>
      </c>
      <c r="G19" s="25" t="n">
        <f aca="false">F19*3</f>
        <v>53502.9165531273</v>
      </c>
      <c r="H19" s="25" t="n">
        <f aca="false">F19+G19</f>
        <v>71337.2220708364</v>
      </c>
      <c r="I19" s="37" t="n">
        <f aca="false">F19/$E$7</f>
        <v>0.0448425791380069</v>
      </c>
    </row>
    <row r="20" customFormat="false" ht="16.5" hidden="false" customHeight="true" outlineLevel="0" collapsed="false">
      <c r="B20" s="23" t="str">
        <f aca="false">'Base Caxias do Sul'!B16</f>
        <v>APS TORRES</v>
      </c>
      <c r="C20" s="25" t="n">
        <f aca="false">'Base Caxias do Sul'!AO16</f>
        <v>1339.42212681617</v>
      </c>
      <c r="D20" s="25" t="n">
        <f aca="false">C20*3</f>
        <v>4018.26638044852</v>
      </c>
      <c r="E20" s="25" t="n">
        <f aca="false">C20+D20</f>
        <v>5357.6885072647</v>
      </c>
      <c r="F20" s="25" t="n">
        <f aca="false">C20*12</f>
        <v>16073.0655217941</v>
      </c>
      <c r="G20" s="25" t="n">
        <f aca="false">F20*3</f>
        <v>48219.1965653823</v>
      </c>
      <c r="H20" s="25" t="n">
        <f aca="false">F20+G20</f>
        <v>64292.2620871764</v>
      </c>
      <c r="I20" s="37" t="n">
        <f aca="false">F20/$E$7</f>
        <v>0.0404141171595229</v>
      </c>
    </row>
    <row r="21" customFormat="false" ht="22.5" hidden="false" customHeight="true" outlineLevel="0" collapsed="false">
      <c r="B21" s="38" t="str">
        <f aca="false">"Total Base "&amp;B5</f>
        <v>Total Base CAXIAS DO SUL</v>
      </c>
      <c r="C21" s="38" t="n">
        <f aca="false">SUM(C11:C20)</f>
        <v>10353.818912263</v>
      </c>
      <c r="D21" s="38" t="n">
        <f aca="false">SUM(D11:D20)</f>
        <v>31061.456736789</v>
      </c>
      <c r="E21" s="38" t="n">
        <f aca="false">SUM(E11:E20)</f>
        <v>41415.275649052</v>
      </c>
      <c r="F21" s="38" t="n">
        <f aca="false">SUM(F11:F20)</f>
        <v>124245.826947156</v>
      </c>
      <c r="G21" s="38" t="n">
        <f aca="false">SUM(G11:G20)</f>
        <v>372737.480841468</v>
      </c>
      <c r="H21" s="38" t="n">
        <f aca="false">SUM(H11:H20)</f>
        <v>496983.307788623</v>
      </c>
      <c r="I21" s="39" t="n">
        <f aca="false">SUM(I11:I20)</f>
        <v>0.312403716641086</v>
      </c>
    </row>
    <row r="22" customFormat="false" ht="22.5" hidden="false" customHeight="true" outlineLevel="0" collapsed="false">
      <c r="B22" s="40"/>
      <c r="C22" s="40"/>
      <c r="D22" s="40"/>
      <c r="E22" s="40"/>
      <c r="F22" s="40"/>
      <c r="G22" s="40"/>
      <c r="H22" s="40"/>
      <c r="I22" s="41"/>
    </row>
    <row r="23" customFormat="false" ht="27.75" hidden="false" customHeight="true" outlineLevel="0" collapsed="false">
      <c r="A23" s="29"/>
      <c r="B23" s="31" t="str">
        <f aca="false">"BASE "&amp;B6</f>
        <v>BASE NOVO HAMBURGO</v>
      </c>
      <c r="C23" s="32" t="s">
        <v>23</v>
      </c>
      <c r="D23" s="32"/>
      <c r="E23" s="32"/>
      <c r="F23" s="32" t="s">
        <v>24</v>
      </c>
      <c r="G23" s="32"/>
      <c r="H23" s="32"/>
      <c r="I23" s="33" t="s">
        <v>25</v>
      </c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34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</row>
    <row r="24" customFormat="false" ht="22.5" hidden="false" customHeight="true" outlineLevel="0" collapsed="false">
      <c r="A24" s="29"/>
      <c r="B24" s="31"/>
      <c r="C24" s="35" t="s">
        <v>26</v>
      </c>
      <c r="D24" s="35" t="s">
        <v>27</v>
      </c>
      <c r="E24" s="35" t="s">
        <v>28</v>
      </c>
      <c r="F24" s="36" t="s">
        <v>26</v>
      </c>
      <c r="G24" s="36" t="s">
        <v>27</v>
      </c>
      <c r="H24" s="36" t="s">
        <v>28</v>
      </c>
      <c r="I24" s="36" t="s">
        <v>29</v>
      </c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34"/>
      <c r="IQ24" s="29"/>
      <c r="IR24" s="29"/>
      <c r="IS24" s="29"/>
      <c r="IT24" s="29"/>
      <c r="IU24" s="29"/>
      <c r="IV24" s="29"/>
      <c r="IW24" s="29"/>
      <c r="IX24" s="29"/>
      <c r="IY24" s="29"/>
      <c r="IZ24" s="29"/>
      <c r="JA24" s="29"/>
      <c r="JB24" s="29"/>
      <c r="JC24" s="29"/>
      <c r="JD24" s="29"/>
      <c r="JE24" s="29"/>
      <c r="JF24" s="29"/>
      <c r="JG24" s="29"/>
      <c r="JH24" s="29"/>
      <c r="JI24" s="29"/>
      <c r="JJ24" s="29"/>
      <c r="JK24" s="29"/>
      <c r="JL24" s="29"/>
      <c r="JM24" s="29"/>
      <c r="JN24" s="29"/>
      <c r="JO24" s="29"/>
      <c r="JP24" s="29"/>
      <c r="JQ24" s="29"/>
      <c r="JR24" s="29"/>
      <c r="JS24" s="29"/>
      <c r="JT24" s="29"/>
      <c r="JU24" s="29"/>
      <c r="JV24" s="29"/>
      <c r="JW24" s="29"/>
      <c r="JX24" s="29"/>
      <c r="JY24" s="29"/>
      <c r="JZ24" s="29"/>
      <c r="KA24" s="29"/>
      <c r="KB24" s="29"/>
      <c r="KC24" s="29"/>
      <c r="KD24" s="29"/>
      <c r="KE24" s="29"/>
      <c r="KF24" s="29"/>
      <c r="KG24" s="29"/>
      <c r="KH24" s="29"/>
      <c r="KI24" s="29"/>
      <c r="KJ24" s="29"/>
      <c r="KK24" s="29"/>
      <c r="KL24" s="29"/>
      <c r="KM24" s="29"/>
      <c r="KN24" s="29"/>
      <c r="KO24" s="29"/>
      <c r="KP24" s="29"/>
      <c r="KQ24" s="29"/>
      <c r="KR24" s="29"/>
      <c r="KS24" s="29"/>
      <c r="KT24" s="29"/>
      <c r="KU24" s="29"/>
      <c r="KV24" s="29"/>
      <c r="KW24" s="29"/>
      <c r="KX24" s="29"/>
      <c r="KY24" s="29"/>
      <c r="KZ24" s="29"/>
      <c r="LA24" s="29"/>
      <c r="LB24" s="29"/>
      <c r="LC24" s="29"/>
      <c r="LD24" s="29"/>
      <c r="LE24" s="29"/>
      <c r="LF24" s="29"/>
      <c r="LG24" s="29"/>
      <c r="LH24" s="29"/>
      <c r="LI24" s="29"/>
      <c r="LJ24" s="29"/>
      <c r="LK24" s="29"/>
      <c r="LL24" s="29"/>
      <c r="LM24" s="29"/>
      <c r="LN24" s="29"/>
      <c r="LO24" s="29"/>
      <c r="LP24" s="29"/>
      <c r="LQ24" s="29"/>
      <c r="LR24" s="29"/>
      <c r="LS24" s="29"/>
      <c r="LT24" s="29"/>
      <c r="LU24" s="29"/>
      <c r="LV24" s="29"/>
      <c r="LW24" s="29"/>
      <c r="LX24" s="29"/>
      <c r="LY24" s="29"/>
      <c r="LZ24" s="29"/>
      <c r="MA24" s="29"/>
      <c r="MB24" s="29"/>
      <c r="MC24" s="29"/>
      <c r="MD24" s="29"/>
      <c r="ME24" s="29"/>
      <c r="MF24" s="29"/>
      <c r="MG24" s="29"/>
      <c r="MH24" s="29"/>
      <c r="MI24" s="29"/>
      <c r="MJ24" s="29"/>
      <c r="MK24" s="29"/>
      <c r="ML24" s="29"/>
      <c r="MM24" s="29"/>
      <c r="MN24" s="29"/>
      <c r="MO24" s="29"/>
      <c r="MP24" s="29"/>
      <c r="MQ24" s="29"/>
      <c r="MR24" s="29"/>
      <c r="MS24" s="29"/>
      <c r="MT24" s="29"/>
      <c r="MU24" s="29"/>
      <c r="MV24" s="29"/>
      <c r="MW24" s="29"/>
      <c r="MX24" s="29"/>
      <c r="MY24" s="29"/>
      <c r="MZ24" s="29"/>
      <c r="NA24" s="29"/>
      <c r="NB24" s="29"/>
      <c r="NC24" s="29"/>
      <c r="ND24" s="29"/>
      <c r="NE24" s="29"/>
      <c r="NF24" s="29"/>
      <c r="NG24" s="29"/>
      <c r="NH24" s="29"/>
      <c r="NI24" s="29"/>
      <c r="NJ24" s="29"/>
      <c r="NK24" s="29"/>
      <c r="NL24" s="29"/>
      <c r="NM24" s="29"/>
      <c r="NN24" s="29"/>
      <c r="NO24" s="29"/>
      <c r="NP24" s="29"/>
      <c r="NQ24" s="29"/>
      <c r="NR24" s="29"/>
      <c r="NS24" s="29"/>
      <c r="NT24" s="29"/>
      <c r="NU24" s="29"/>
      <c r="NV24" s="29"/>
      <c r="NW24" s="29"/>
      <c r="NX24" s="29"/>
      <c r="NY24" s="29"/>
      <c r="NZ24" s="29"/>
      <c r="OA24" s="29"/>
      <c r="OB24" s="29"/>
      <c r="OC24" s="29"/>
      <c r="OD24" s="29"/>
      <c r="OE24" s="29"/>
      <c r="OF24" s="29"/>
      <c r="OG24" s="29"/>
      <c r="OH24" s="29"/>
      <c r="OI24" s="29"/>
      <c r="OJ24" s="29"/>
      <c r="OK24" s="29"/>
      <c r="OL24" s="29"/>
      <c r="OM24" s="29"/>
      <c r="ON24" s="29"/>
      <c r="OO24" s="29"/>
      <c r="OP24" s="29"/>
      <c r="OQ24" s="29"/>
      <c r="OR24" s="29"/>
      <c r="OS24" s="29"/>
      <c r="OT24" s="29"/>
      <c r="OU24" s="29"/>
      <c r="OV24" s="29"/>
      <c r="OW24" s="29"/>
      <c r="OX24" s="29"/>
      <c r="OY24" s="29"/>
      <c r="OZ24" s="29"/>
      <c r="PA24" s="29"/>
      <c r="PB24" s="29"/>
      <c r="PC24" s="29"/>
      <c r="PD24" s="29"/>
      <c r="PE24" s="29"/>
      <c r="PF24" s="29"/>
      <c r="PG24" s="29"/>
      <c r="PH24" s="29"/>
      <c r="PI24" s="29"/>
      <c r="PJ24" s="29"/>
      <c r="PK24" s="29"/>
      <c r="PL24" s="29"/>
      <c r="PM24" s="29"/>
      <c r="PN24" s="29"/>
      <c r="PO24" s="29"/>
      <c r="PP24" s="29"/>
      <c r="PQ24" s="29"/>
      <c r="PR24" s="29"/>
      <c r="PS24" s="29"/>
      <c r="PT24" s="29"/>
      <c r="PU24" s="29"/>
      <c r="PV24" s="29"/>
      <c r="PW24" s="29"/>
      <c r="PX24" s="29"/>
      <c r="PY24" s="29"/>
      <c r="PZ24" s="29"/>
      <c r="QA24" s="29"/>
      <c r="QB24" s="29"/>
      <c r="QC24" s="29"/>
      <c r="QD24" s="29"/>
      <c r="QE24" s="29"/>
      <c r="QF24" s="29"/>
      <c r="QG24" s="29"/>
      <c r="QH24" s="29"/>
      <c r="QI24" s="29"/>
      <c r="QJ24" s="29"/>
      <c r="QK24" s="29"/>
      <c r="QL24" s="29"/>
      <c r="QM24" s="29"/>
      <c r="QN24" s="29"/>
      <c r="QO24" s="29"/>
      <c r="QP24" s="29"/>
      <c r="QQ24" s="29"/>
      <c r="QR24" s="29"/>
      <c r="QS24" s="29"/>
      <c r="QT24" s="29"/>
      <c r="QU24" s="29"/>
      <c r="QV24" s="29"/>
      <c r="QW24" s="29"/>
      <c r="QX24" s="29"/>
      <c r="QY24" s="29"/>
      <c r="QZ24" s="29"/>
      <c r="RA24" s="29"/>
      <c r="RB24" s="29"/>
      <c r="RC24" s="29"/>
      <c r="RD24" s="29"/>
      <c r="RE24" s="29"/>
      <c r="RF24" s="29"/>
      <c r="RG24" s="29"/>
      <c r="RH24" s="29"/>
      <c r="RI24" s="29"/>
      <c r="RJ24" s="29"/>
      <c r="RK24" s="29"/>
      <c r="RL24" s="29"/>
      <c r="RM24" s="29"/>
      <c r="RN24" s="29"/>
      <c r="RO24" s="29"/>
      <c r="RP24" s="29"/>
      <c r="RQ24" s="29"/>
      <c r="RR24" s="29"/>
      <c r="RS24" s="29"/>
      <c r="RT24" s="29"/>
      <c r="RU24" s="29"/>
      <c r="RV24" s="29"/>
      <c r="RW24" s="29"/>
      <c r="RX24" s="29"/>
      <c r="RY24" s="29"/>
      <c r="RZ24" s="29"/>
      <c r="SA24" s="29"/>
      <c r="SB24" s="29"/>
      <c r="SC24" s="29"/>
      <c r="SD24" s="29"/>
      <c r="SE24" s="29"/>
      <c r="SF24" s="29"/>
      <c r="SG24" s="29"/>
      <c r="SH24" s="29"/>
      <c r="SI24" s="29"/>
      <c r="SJ24" s="29"/>
      <c r="SK24" s="29"/>
      <c r="SL24" s="29"/>
      <c r="SM24" s="29"/>
      <c r="SN24" s="29"/>
      <c r="SO24" s="29"/>
      <c r="SP24" s="29"/>
      <c r="SQ24" s="29"/>
      <c r="SR24" s="29"/>
      <c r="SS24" s="29"/>
      <c r="ST24" s="29"/>
      <c r="SU24" s="29"/>
      <c r="SV24" s="29"/>
      <c r="SW24" s="29"/>
      <c r="SX24" s="29"/>
      <c r="SY24" s="29"/>
      <c r="SZ24" s="29"/>
      <c r="TA24" s="29"/>
      <c r="TB24" s="29"/>
      <c r="TC24" s="29"/>
      <c r="TD24" s="29"/>
      <c r="TE24" s="29"/>
      <c r="TF24" s="29"/>
      <c r="TG24" s="29"/>
      <c r="TH24" s="29"/>
      <c r="TI24" s="29"/>
      <c r="TJ24" s="29"/>
      <c r="TK24" s="29"/>
      <c r="TL24" s="29"/>
      <c r="TM24" s="29"/>
      <c r="TN24" s="29"/>
      <c r="TO24" s="29"/>
      <c r="TP24" s="29"/>
      <c r="TQ24" s="29"/>
      <c r="TR24" s="29"/>
      <c r="TS24" s="29"/>
      <c r="TT24" s="29"/>
      <c r="TU24" s="29"/>
      <c r="TV24" s="29"/>
      <c r="TW24" s="29"/>
      <c r="TX24" s="29"/>
      <c r="TY24" s="29"/>
      <c r="TZ24" s="29"/>
      <c r="UA24" s="29"/>
      <c r="UB24" s="29"/>
      <c r="UC24" s="29"/>
      <c r="UD24" s="29"/>
      <c r="UE24" s="29"/>
      <c r="UF24" s="29"/>
      <c r="UG24" s="29"/>
      <c r="UH24" s="29"/>
      <c r="UI24" s="29"/>
      <c r="UJ24" s="29"/>
      <c r="UK24" s="29"/>
      <c r="UL24" s="29"/>
      <c r="UM24" s="29"/>
      <c r="UN24" s="29"/>
      <c r="UO24" s="29"/>
      <c r="UP24" s="29"/>
      <c r="UQ24" s="29"/>
      <c r="UR24" s="29"/>
      <c r="US24" s="29"/>
      <c r="UT24" s="29"/>
      <c r="UU24" s="29"/>
      <c r="UV24" s="29"/>
      <c r="UW24" s="29"/>
      <c r="UX24" s="29"/>
      <c r="UY24" s="29"/>
      <c r="UZ24" s="29"/>
      <c r="VA24" s="29"/>
      <c r="VB24" s="29"/>
      <c r="VC24" s="29"/>
      <c r="VD24" s="29"/>
      <c r="VE24" s="29"/>
      <c r="VF24" s="29"/>
      <c r="VG24" s="29"/>
      <c r="VH24" s="29"/>
      <c r="VI24" s="29"/>
      <c r="VJ24" s="29"/>
      <c r="VK24" s="29"/>
      <c r="VL24" s="29"/>
      <c r="VM24" s="29"/>
      <c r="VN24" s="29"/>
      <c r="VO24" s="29"/>
      <c r="VP24" s="29"/>
      <c r="VQ24" s="29"/>
      <c r="VR24" s="29"/>
      <c r="VS24" s="29"/>
      <c r="VT24" s="29"/>
      <c r="VU24" s="29"/>
      <c r="VV24" s="29"/>
      <c r="VW24" s="29"/>
      <c r="VX24" s="29"/>
      <c r="VY24" s="29"/>
      <c r="VZ24" s="29"/>
      <c r="WA24" s="29"/>
      <c r="WB24" s="29"/>
      <c r="WC24" s="29"/>
      <c r="WD24" s="29"/>
      <c r="WE24" s="29"/>
      <c r="WF24" s="29"/>
      <c r="WG24" s="29"/>
      <c r="WH24" s="29"/>
      <c r="WI24" s="29"/>
      <c r="WJ24" s="29"/>
      <c r="WK24" s="29"/>
      <c r="WL24" s="29"/>
      <c r="WM24" s="29"/>
      <c r="WN24" s="29"/>
      <c r="WO24" s="29"/>
      <c r="WP24" s="29"/>
      <c r="WQ24" s="29"/>
      <c r="WR24" s="29"/>
      <c r="WS24" s="29"/>
      <c r="WT24" s="29"/>
      <c r="WU24" s="29"/>
      <c r="WV24" s="29"/>
      <c r="WW24" s="29"/>
      <c r="WX24" s="29"/>
      <c r="WY24" s="29"/>
      <c r="WZ24" s="29"/>
      <c r="XA24" s="29"/>
      <c r="XB24" s="29"/>
      <c r="XC24" s="29"/>
      <c r="XD24" s="29"/>
      <c r="XE24" s="29"/>
      <c r="XF24" s="29"/>
      <c r="XG24" s="29"/>
      <c r="XH24" s="29"/>
      <c r="XI24" s="29"/>
      <c r="XJ24" s="29"/>
      <c r="XK24" s="29"/>
      <c r="XL24" s="29"/>
      <c r="XM24" s="29"/>
      <c r="XN24" s="29"/>
      <c r="XO24" s="29"/>
      <c r="XP24" s="29"/>
      <c r="XQ24" s="29"/>
      <c r="XR24" s="29"/>
      <c r="XS24" s="29"/>
      <c r="XT24" s="29"/>
      <c r="XU24" s="29"/>
      <c r="XV24" s="29"/>
      <c r="XW24" s="29"/>
      <c r="XX24" s="29"/>
      <c r="XY24" s="29"/>
      <c r="XZ24" s="29"/>
      <c r="YA24" s="29"/>
      <c r="YB24" s="29"/>
      <c r="YC24" s="29"/>
      <c r="YD24" s="29"/>
      <c r="YE24" s="29"/>
      <c r="YF24" s="29"/>
      <c r="YG24" s="29"/>
      <c r="YH24" s="29"/>
      <c r="YI24" s="29"/>
      <c r="YJ24" s="29"/>
      <c r="YK24" s="29"/>
      <c r="YL24" s="29"/>
      <c r="YM24" s="29"/>
      <c r="YN24" s="29"/>
      <c r="YO24" s="29"/>
      <c r="YP24" s="29"/>
      <c r="YQ24" s="29"/>
      <c r="YR24" s="29"/>
      <c r="YS24" s="29"/>
      <c r="YT24" s="29"/>
      <c r="YU24" s="29"/>
      <c r="YV24" s="29"/>
      <c r="YW24" s="29"/>
      <c r="YX24" s="29"/>
      <c r="YY24" s="29"/>
      <c r="YZ24" s="29"/>
      <c r="ZA24" s="29"/>
      <c r="ZB24" s="29"/>
      <c r="ZC24" s="29"/>
      <c r="ZD24" s="29"/>
      <c r="ZE24" s="29"/>
      <c r="ZF24" s="29"/>
      <c r="ZG24" s="29"/>
      <c r="ZH24" s="29"/>
      <c r="ZI24" s="29"/>
      <c r="ZJ24" s="29"/>
      <c r="ZK24" s="29"/>
      <c r="ZL24" s="29"/>
      <c r="ZM24" s="29"/>
      <c r="ZN24" s="29"/>
      <c r="ZO24" s="29"/>
      <c r="ZP24" s="29"/>
      <c r="ZQ24" s="29"/>
      <c r="ZR24" s="29"/>
      <c r="ZS24" s="29"/>
      <c r="ZT24" s="29"/>
      <c r="ZU24" s="29"/>
      <c r="ZV24" s="29"/>
      <c r="ZW24" s="29"/>
      <c r="ZX24" s="29"/>
      <c r="ZY24" s="29"/>
      <c r="ZZ24" s="29"/>
      <c r="AAA24" s="29"/>
      <c r="AAB24" s="29"/>
      <c r="AAC24" s="29"/>
      <c r="AAD24" s="29"/>
      <c r="AAE24" s="29"/>
      <c r="AAF24" s="29"/>
      <c r="AAG24" s="29"/>
      <c r="AAH24" s="29"/>
      <c r="AAI24" s="29"/>
      <c r="AAJ24" s="29"/>
      <c r="AAK24" s="29"/>
      <c r="AAL24" s="29"/>
      <c r="AAM24" s="29"/>
      <c r="AAN24" s="29"/>
      <c r="AAO24" s="29"/>
      <c r="AAP24" s="29"/>
      <c r="AAQ24" s="29"/>
      <c r="AAR24" s="29"/>
      <c r="AAS24" s="29"/>
      <c r="AAT24" s="29"/>
      <c r="AAU24" s="29"/>
      <c r="AAV24" s="29"/>
      <c r="AAW24" s="29"/>
      <c r="AAX24" s="29"/>
      <c r="AAY24" s="29"/>
      <c r="AAZ24" s="29"/>
      <c r="ABA24" s="29"/>
      <c r="ABB24" s="29"/>
      <c r="ABC24" s="29"/>
      <c r="ABD24" s="29"/>
      <c r="ABE24" s="29"/>
      <c r="ABF24" s="29"/>
      <c r="ABG24" s="29"/>
      <c r="ABH24" s="29"/>
      <c r="ABI24" s="29"/>
      <c r="ABJ24" s="29"/>
      <c r="ABK24" s="29"/>
      <c r="ABL24" s="29"/>
      <c r="ABM24" s="29"/>
      <c r="ABN24" s="29"/>
      <c r="ABO24" s="29"/>
      <c r="ABP24" s="29"/>
      <c r="ABQ24" s="29"/>
      <c r="ABR24" s="29"/>
      <c r="ABS24" s="29"/>
      <c r="ABT24" s="29"/>
      <c r="ABU24" s="29"/>
      <c r="ABV24" s="29"/>
      <c r="ABW24" s="29"/>
      <c r="ABX24" s="29"/>
      <c r="ABY24" s="29"/>
      <c r="ABZ24" s="29"/>
      <c r="ACA24" s="29"/>
      <c r="ACB24" s="29"/>
      <c r="ACC24" s="29"/>
      <c r="ACD24" s="29"/>
      <c r="ACE24" s="29"/>
      <c r="ACF24" s="29"/>
      <c r="ACG24" s="29"/>
      <c r="ACH24" s="29"/>
      <c r="ACI24" s="29"/>
      <c r="ACJ24" s="29"/>
      <c r="ACK24" s="29"/>
      <c r="ACL24" s="29"/>
      <c r="ACM24" s="29"/>
      <c r="ACN24" s="29"/>
      <c r="ACO24" s="29"/>
      <c r="ACP24" s="29"/>
      <c r="ACQ24" s="29"/>
      <c r="ACR24" s="29"/>
      <c r="ACS24" s="29"/>
      <c r="ACT24" s="29"/>
      <c r="ACU24" s="29"/>
      <c r="ACV24" s="29"/>
      <c r="ACW24" s="29"/>
      <c r="ACX24" s="29"/>
      <c r="ACY24" s="29"/>
      <c r="ACZ24" s="29"/>
      <c r="ADA24" s="29"/>
      <c r="ADB24" s="29"/>
      <c r="ADC24" s="29"/>
      <c r="ADD24" s="29"/>
      <c r="ADE24" s="29"/>
      <c r="ADF24" s="29"/>
      <c r="ADG24" s="29"/>
      <c r="ADH24" s="29"/>
      <c r="ADI24" s="29"/>
      <c r="ADJ24" s="29"/>
      <c r="ADK24" s="29"/>
      <c r="ADL24" s="29"/>
      <c r="ADM24" s="29"/>
      <c r="ADN24" s="29"/>
      <c r="ADO24" s="29"/>
      <c r="ADP24" s="29"/>
      <c r="ADQ24" s="29"/>
      <c r="ADR24" s="29"/>
      <c r="ADS24" s="29"/>
      <c r="ADT24" s="29"/>
      <c r="ADU24" s="29"/>
      <c r="ADV24" s="29"/>
      <c r="ADW24" s="29"/>
      <c r="ADX24" s="29"/>
      <c r="ADY24" s="29"/>
      <c r="ADZ24" s="29"/>
      <c r="AEA24" s="29"/>
      <c r="AEB24" s="29"/>
      <c r="AEC24" s="29"/>
      <c r="AED24" s="29"/>
      <c r="AEE24" s="29"/>
      <c r="AEF24" s="29"/>
      <c r="AEG24" s="29"/>
      <c r="AEH24" s="29"/>
      <c r="AEI24" s="29"/>
      <c r="AEJ24" s="29"/>
      <c r="AEK24" s="29"/>
      <c r="AEL24" s="29"/>
      <c r="AEM24" s="29"/>
      <c r="AEN24" s="29"/>
      <c r="AEO24" s="29"/>
      <c r="AEP24" s="29"/>
      <c r="AEQ24" s="29"/>
      <c r="AER24" s="29"/>
      <c r="AES24" s="29"/>
      <c r="AET24" s="29"/>
      <c r="AEU24" s="29"/>
      <c r="AEV24" s="29"/>
      <c r="AEW24" s="29"/>
      <c r="AEX24" s="29"/>
      <c r="AEY24" s="29"/>
      <c r="AEZ24" s="29"/>
      <c r="AFA24" s="29"/>
      <c r="AFB24" s="29"/>
      <c r="AFC24" s="29"/>
      <c r="AFD24" s="29"/>
      <c r="AFE24" s="29"/>
      <c r="AFF24" s="29"/>
      <c r="AFG24" s="29"/>
      <c r="AFH24" s="29"/>
      <c r="AFI24" s="29"/>
      <c r="AFJ24" s="29"/>
      <c r="AFK24" s="29"/>
      <c r="AFL24" s="29"/>
      <c r="AFM24" s="29"/>
      <c r="AFN24" s="29"/>
      <c r="AFO24" s="29"/>
      <c r="AFP24" s="29"/>
      <c r="AFQ24" s="29"/>
      <c r="AFR24" s="29"/>
      <c r="AFS24" s="29"/>
      <c r="AFT24" s="29"/>
      <c r="AFU24" s="29"/>
      <c r="AFV24" s="29"/>
      <c r="AFW24" s="29"/>
      <c r="AFX24" s="29"/>
      <c r="AFY24" s="29"/>
      <c r="AFZ24" s="29"/>
      <c r="AGA24" s="29"/>
      <c r="AGB24" s="29"/>
      <c r="AGC24" s="29"/>
      <c r="AGD24" s="29"/>
      <c r="AGE24" s="29"/>
      <c r="AGF24" s="29"/>
      <c r="AGG24" s="29"/>
      <c r="AGH24" s="29"/>
      <c r="AGI24" s="29"/>
      <c r="AGJ24" s="29"/>
      <c r="AGK24" s="29"/>
      <c r="AGL24" s="29"/>
      <c r="AGM24" s="29"/>
      <c r="AGN24" s="29"/>
      <c r="AGO24" s="29"/>
      <c r="AGP24" s="29"/>
      <c r="AGQ24" s="29"/>
      <c r="AGR24" s="29"/>
      <c r="AGS24" s="29"/>
      <c r="AGT24" s="29"/>
      <c r="AGU24" s="29"/>
      <c r="AGV24" s="29"/>
      <c r="AGW24" s="29"/>
      <c r="AGX24" s="29"/>
      <c r="AGY24" s="29"/>
      <c r="AGZ24" s="29"/>
      <c r="AHA24" s="29"/>
      <c r="AHB24" s="29"/>
      <c r="AHC24" s="29"/>
      <c r="AHD24" s="29"/>
      <c r="AHE24" s="29"/>
      <c r="AHF24" s="29"/>
      <c r="AHG24" s="29"/>
      <c r="AHH24" s="29"/>
      <c r="AHI24" s="29"/>
      <c r="AHJ24" s="29"/>
      <c r="AHK24" s="29"/>
      <c r="AHL24" s="29"/>
      <c r="AHM24" s="29"/>
      <c r="AHN24" s="29"/>
      <c r="AHO24" s="29"/>
      <c r="AHP24" s="29"/>
      <c r="AHQ24" s="29"/>
      <c r="AHR24" s="29"/>
      <c r="AHS24" s="29"/>
      <c r="AHT24" s="29"/>
      <c r="AHU24" s="29"/>
      <c r="AHV24" s="29"/>
      <c r="AHW24" s="29"/>
      <c r="AHX24" s="29"/>
      <c r="AHY24" s="29"/>
      <c r="AHZ24" s="29"/>
      <c r="AIA24" s="29"/>
      <c r="AIB24" s="29"/>
      <c r="AIC24" s="29"/>
      <c r="AID24" s="29"/>
      <c r="AIE24" s="29"/>
      <c r="AIF24" s="29"/>
      <c r="AIG24" s="29"/>
      <c r="AIH24" s="29"/>
      <c r="AII24" s="29"/>
      <c r="AIJ24" s="29"/>
      <c r="AIK24" s="29"/>
      <c r="AIL24" s="29"/>
      <c r="AIM24" s="29"/>
      <c r="AIN24" s="29"/>
      <c r="AIO24" s="29"/>
      <c r="AIP24" s="29"/>
      <c r="AIQ24" s="29"/>
      <c r="AIR24" s="29"/>
      <c r="AIS24" s="29"/>
      <c r="AIT24" s="29"/>
      <c r="AIU24" s="29"/>
      <c r="AIV24" s="29"/>
      <c r="AIW24" s="29"/>
      <c r="AIX24" s="29"/>
      <c r="AIY24" s="29"/>
      <c r="AIZ24" s="29"/>
      <c r="AJA24" s="29"/>
      <c r="AJB24" s="29"/>
      <c r="AJC24" s="29"/>
      <c r="AJD24" s="29"/>
      <c r="AJE24" s="29"/>
      <c r="AJF24" s="29"/>
      <c r="AJG24" s="29"/>
      <c r="AJH24" s="29"/>
      <c r="AJI24" s="29"/>
      <c r="AJJ24" s="29"/>
      <c r="AJK24" s="29"/>
      <c r="AJL24" s="29"/>
      <c r="AJM24" s="29"/>
      <c r="AJN24" s="29"/>
      <c r="AJO24" s="29"/>
      <c r="AJP24" s="29"/>
      <c r="AJQ24" s="29"/>
      <c r="AJR24" s="29"/>
      <c r="AJS24" s="29"/>
      <c r="AJT24" s="29"/>
      <c r="AJU24" s="29"/>
      <c r="AJV24" s="29"/>
      <c r="AJW24" s="29"/>
      <c r="AJX24" s="29"/>
      <c r="AJY24" s="29"/>
      <c r="AJZ24" s="29"/>
      <c r="AKA24" s="29"/>
      <c r="AKB24" s="29"/>
      <c r="AKC24" s="29"/>
      <c r="AKD24" s="29"/>
      <c r="AKE24" s="29"/>
      <c r="AKF24" s="29"/>
      <c r="AKG24" s="29"/>
      <c r="AKH24" s="29"/>
      <c r="AKI24" s="29"/>
      <c r="AKJ24" s="29"/>
      <c r="AKK24" s="29"/>
      <c r="AKL24" s="29"/>
      <c r="AKM24" s="29"/>
      <c r="AKN24" s="29"/>
      <c r="AKO24" s="29"/>
      <c r="AKP24" s="29"/>
      <c r="AKQ24" s="29"/>
      <c r="AKR24" s="29"/>
      <c r="AKS24" s="29"/>
      <c r="AKT24" s="29"/>
      <c r="AKU24" s="29"/>
      <c r="AKV24" s="29"/>
      <c r="AKW24" s="29"/>
      <c r="AKX24" s="29"/>
      <c r="AKY24" s="29"/>
      <c r="AKZ24" s="29"/>
      <c r="ALA24" s="29"/>
      <c r="ALB24" s="29"/>
      <c r="ALC24" s="29"/>
      <c r="ALD24" s="29"/>
      <c r="ALE24" s="29"/>
      <c r="ALF24" s="29"/>
      <c r="ALG24" s="29"/>
      <c r="ALH24" s="29"/>
      <c r="ALI24" s="29"/>
      <c r="ALJ24" s="29"/>
      <c r="ALK24" s="29"/>
      <c r="ALL24" s="29"/>
      <c r="ALM24" s="29"/>
      <c r="ALN24" s="29"/>
      <c r="ALO24" s="29"/>
      <c r="ALP24" s="29"/>
      <c r="ALQ24" s="29"/>
      <c r="ALR24" s="29"/>
      <c r="ALS24" s="29"/>
      <c r="ALT24" s="29"/>
      <c r="ALU24" s="29"/>
      <c r="ALV24" s="29"/>
      <c r="ALW24" s="29"/>
      <c r="ALX24" s="29"/>
      <c r="ALY24" s="29"/>
      <c r="ALZ24" s="29"/>
      <c r="AMA24" s="29"/>
      <c r="AMB24" s="29"/>
      <c r="AMC24" s="29"/>
      <c r="AMD24" s="29"/>
      <c r="AME24" s="29"/>
    </row>
    <row r="25" customFormat="false" ht="16.5" hidden="false" customHeight="true" outlineLevel="0" collapsed="false">
      <c r="B25" s="23" t="str">
        <f aca="false">'Base Novo Hamburgo'!B7</f>
        <v>GEX NOVO HAMBURGO</v>
      </c>
      <c r="C25" s="25" t="n">
        <f aca="false">'Base Novo Hamburgo'!AO7</f>
        <v>1078.26561484913</v>
      </c>
      <c r="D25" s="25" t="n">
        <f aca="false">C25*3</f>
        <v>3234.7968445474</v>
      </c>
      <c r="E25" s="25" t="n">
        <f aca="false">C25+D25</f>
        <v>4313.06245939653</v>
      </c>
      <c r="F25" s="25" t="n">
        <f aca="false">C25*12</f>
        <v>12939.1873781896</v>
      </c>
      <c r="G25" s="25" t="n">
        <f aca="false">F25*3</f>
        <v>38817.5621345687</v>
      </c>
      <c r="H25" s="25" t="n">
        <f aca="false">F25+G25</f>
        <v>51756.7495127583</v>
      </c>
      <c r="I25" s="37" t="n">
        <f aca="false">F25/$E$7</f>
        <v>0.0325342937190244</v>
      </c>
    </row>
    <row r="26" customFormat="false" ht="16.5" hidden="false" customHeight="true" outlineLevel="0" collapsed="false">
      <c r="B26" s="23" t="str">
        <f aca="false">'Base Novo Hamburgo'!B8</f>
        <v>APS NOVO HAMBURGO</v>
      </c>
      <c r="C26" s="25" t="n">
        <f aca="false">'Base Novo Hamburgo'!AO8</f>
        <v>729.512930726955</v>
      </c>
      <c r="D26" s="25" t="n">
        <f aca="false">C26*3</f>
        <v>2188.53879218086</v>
      </c>
      <c r="E26" s="25" t="n">
        <f aca="false">C26+D26</f>
        <v>2918.05172290782</v>
      </c>
      <c r="F26" s="25" t="n">
        <f aca="false">C26*12</f>
        <v>8754.15516872346</v>
      </c>
      <c r="G26" s="25" t="n">
        <f aca="false">F26*3</f>
        <v>26262.4655061704</v>
      </c>
      <c r="H26" s="25" t="n">
        <f aca="false">F26+G26</f>
        <v>35016.6206748938</v>
      </c>
      <c r="I26" s="37" t="n">
        <f aca="false">F26/$E$7</f>
        <v>0.0220114484160917</v>
      </c>
    </row>
    <row r="27" customFormat="false" ht="16.5" hidden="false" customHeight="true" outlineLevel="0" collapsed="false">
      <c r="B27" s="23" t="str">
        <f aca="false">'Base Novo Hamburgo'!B9</f>
        <v>APS CAMPO BOM</v>
      </c>
      <c r="C27" s="25" t="n">
        <f aca="false">'Base Novo Hamburgo'!AO9</f>
        <v>853.280735579307</v>
      </c>
      <c r="D27" s="25" t="n">
        <f aca="false">C27*3</f>
        <v>2559.84220673792</v>
      </c>
      <c r="E27" s="25" t="n">
        <f aca="false">C27+D27</f>
        <v>3413.12294231723</v>
      </c>
      <c r="F27" s="25" t="n">
        <f aca="false">C27*12</f>
        <v>10239.3688269517</v>
      </c>
      <c r="G27" s="25" t="n">
        <f aca="false">F27*3</f>
        <v>30718.1064808551</v>
      </c>
      <c r="H27" s="25" t="n">
        <f aca="false">F27+G27</f>
        <v>40957.4753078067</v>
      </c>
      <c r="I27" s="37" t="n">
        <f aca="false">F27/$E$7</f>
        <v>0.0257458697502903</v>
      </c>
    </row>
    <row r="28" customFormat="false" ht="16.5" hidden="false" customHeight="true" outlineLevel="0" collapsed="false">
      <c r="B28" s="23" t="str">
        <f aca="false">'Base Novo Hamburgo'!B10</f>
        <v>DEPÓSITO NOVO HAMBURGO</v>
      </c>
      <c r="C28" s="25" t="n">
        <f aca="false">'Base Novo Hamburgo'!AO10</f>
        <v>1089.86483418702</v>
      </c>
      <c r="D28" s="25" t="n">
        <f aca="false">C28*3</f>
        <v>3269.59450256106</v>
      </c>
      <c r="E28" s="25" t="n">
        <f aca="false">C28+D28</f>
        <v>4359.45933674808</v>
      </c>
      <c r="F28" s="25" t="n">
        <f aca="false">C28*12</f>
        <v>13078.3780102442</v>
      </c>
      <c r="G28" s="25" t="n">
        <f aca="false">F28*3</f>
        <v>39235.1340307327</v>
      </c>
      <c r="H28" s="25" t="n">
        <f aca="false">F28+G28</f>
        <v>52313.5120409769</v>
      </c>
      <c r="I28" s="37" t="n">
        <f aca="false">F28/$E$7</f>
        <v>0.0328842746547543</v>
      </c>
    </row>
    <row r="29" customFormat="false" ht="16.5" hidden="false" customHeight="true" outlineLevel="0" collapsed="false">
      <c r="B29" s="23" t="e">
        <f aca="false">#REF!</f>
        <v>#REF!</v>
      </c>
      <c r="C29" s="25" t="e">
        <f aca="false">#REF!</f>
        <v>#REF!</v>
      </c>
      <c r="D29" s="25" t="e">
        <f aca="false">C29*3</f>
        <v>#REF!</v>
      </c>
      <c r="E29" s="25" t="e">
        <f aca="false">C29+D29</f>
        <v>#REF!</v>
      </c>
      <c r="F29" s="25" t="e">
        <f aca="false">C29*12</f>
        <v>#REF!</v>
      </c>
      <c r="G29" s="25" t="e">
        <f aca="false">F29*3</f>
        <v>#REF!</v>
      </c>
      <c r="H29" s="25" t="e">
        <f aca="false">F29+G29</f>
        <v>#REF!</v>
      </c>
      <c r="I29" s="37" t="e">
        <f aca="false">F29/$E$7</f>
        <v>#REF!</v>
      </c>
    </row>
    <row r="30" customFormat="false" ht="16.5" hidden="false" customHeight="true" outlineLevel="0" collapsed="false">
      <c r="B30" s="23" t="str">
        <f aca="false">'Base Novo Hamburgo'!B11</f>
        <v>APS TRÊS COROAS</v>
      </c>
      <c r="C30" s="25" t="n">
        <f aca="false">'Base Novo Hamburgo'!AO11</f>
        <v>961.401004168395</v>
      </c>
      <c r="D30" s="25" t="n">
        <f aca="false">C30*3</f>
        <v>2884.20301250518</v>
      </c>
      <c r="E30" s="25" t="n">
        <f aca="false">C30+D30</f>
        <v>3845.60401667358</v>
      </c>
      <c r="F30" s="25" t="n">
        <f aca="false">C30*12</f>
        <v>11536.8120500207</v>
      </c>
      <c r="G30" s="25" t="n">
        <f aca="false">F30*3</f>
        <v>34610.4361500622</v>
      </c>
      <c r="H30" s="25" t="n">
        <f aca="false">F30+G30</f>
        <v>46147.248200083</v>
      </c>
      <c r="I30" s="37" t="n">
        <f aca="false">F30/$E$7</f>
        <v>0.0290081610881712</v>
      </c>
    </row>
    <row r="31" customFormat="false" ht="16.5" hidden="false" customHeight="true" outlineLevel="0" collapsed="false">
      <c r="B31" s="23" t="str">
        <f aca="false">'Base Novo Hamburgo'!B12</f>
        <v>APS DOIS IRMÃOS</v>
      </c>
      <c r="C31" s="25" t="n">
        <f aca="false">'Base Novo Hamburgo'!AO12</f>
        <v>880.964521360196</v>
      </c>
      <c r="D31" s="25" t="n">
        <f aca="false">C31*3</f>
        <v>2642.89356408059</v>
      </c>
      <c r="E31" s="25" t="n">
        <f aca="false">C31+D31</f>
        <v>3523.85808544078</v>
      </c>
      <c r="F31" s="25" t="n">
        <f aca="false">C31*12</f>
        <v>10571.5742563224</v>
      </c>
      <c r="G31" s="25" t="n">
        <f aca="false">F31*3</f>
        <v>31714.7227689671</v>
      </c>
      <c r="H31" s="25" t="n">
        <f aca="false">F31+G31</f>
        <v>42286.2970252894</v>
      </c>
      <c r="I31" s="37" t="n">
        <f aca="false">F31/$E$7</f>
        <v>0.0265811671069402</v>
      </c>
    </row>
    <row r="32" customFormat="false" ht="16.5" hidden="false" customHeight="true" outlineLevel="0" collapsed="false">
      <c r="B32" s="23" t="str">
        <f aca="false">'Base Novo Hamburgo'!B13</f>
        <v>APS SAPIRANGA</v>
      </c>
      <c r="C32" s="25" t="n">
        <f aca="false">'Base Novo Hamburgo'!AO13</f>
        <v>1117.54861996791</v>
      </c>
      <c r="D32" s="25" t="n">
        <f aca="false">C32*3</f>
        <v>3352.64585990372</v>
      </c>
      <c r="E32" s="25" t="n">
        <f aca="false">C32+D32</f>
        <v>4470.19447987163</v>
      </c>
      <c r="F32" s="25" t="n">
        <f aca="false">C32*12</f>
        <v>13410.5834396149</v>
      </c>
      <c r="G32" s="25" t="n">
        <f aca="false">F32*3</f>
        <v>40231.7503188447</v>
      </c>
      <c r="H32" s="25" t="n">
        <f aca="false">F32+G32</f>
        <v>53642.3337584596</v>
      </c>
      <c r="I32" s="37" t="n">
        <f aca="false">F32/$E$7</f>
        <v>0.0337195720114042</v>
      </c>
    </row>
    <row r="33" customFormat="false" ht="16.5" hidden="false" customHeight="true" outlineLevel="0" collapsed="false">
      <c r="B33" s="23" t="str">
        <f aca="false">'Base Novo Hamburgo'!B14</f>
        <v>APS PORTÃO</v>
      </c>
      <c r="C33" s="25" t="n">
        <f aca="false">'Base Novo Hamburgo'!AO14</f>
        <v>773.096533204239</v>
      </c>
      <c r="D33" s="25" t="n">
        <f aca="false">C33*3</f>
        <v>2319.28959961272</v>
      </c>
      <c r="E33" s="25" t="n">
        <f aca="false">C33+D33</f>
        <v>3092.38613281695</v>
      </c>
      <c r="F33" s="25" t="n">
        <f aca="false">C33*12</f>
        <v>9277.15839845086</v>
      </c>
      <c r="G33" s="25" t="n">
        <f aca="false">F33*3</f>
        <v>27831.4751953526</v>
      </c>
      <c r="H33" s="25" t="n">
        <f aca="false">F33+G33</f>
        <v>37108.6335938035</v>
      </c>
      <c r="I33" s="37" t="n">
        <f aca="false">F33/$E$7</f>
        <v>0.0233264877763402</v>
      </c>
    </row>
    <row r="34" customFormat="false" ht="16.5" hidden="false" customHeight="true" outlineLevel="0" collapsed="false">
      <c r="B34" s="23" t="str">
        <f aca="false">'Base Novo Hamburgo'!B15</f>
        <v>APS SÃO LEOPOLDO</v>
      </c>
      <c r="C34" s="25" t="n">
        <f aca="false">'Base Novo Hamburgo'!AO15</f>
        <v>892.644697377635</v>
      </c>
      <c r="D34" s="25" t="n">
        <f aca="false">C34*3</f>
        <v>2677.9340921329</v>
      </c>
      <c r="E34" s="25" t="n">
        <f aca="false">C34+D34</f>
        <v>3570.57878951054</v>
      </c>
      <c r="F34" s="25" t="n">
        <f aca="false">C34*12</f>
        <v>10711.7363685316</v>
      </c>
      <c r="G34" s="25" t="n">
        <f aca="false">F34*3</f>
        <v>32135.2091055949</v>
      </c>
      <c r="H34" s="25" t="n">
        <f aca="false">F34+G34</f>
        <v>42846.9454741265</v>
      </c>
      <c r="I34" s="37" t="n">
        <f aca="false">F34/$E$7</f>
        <v>0.026933590732444</v>
      </c>
    </row>
    <row r="35" customFormat="false" ht="16.5" hidden="false" customHeight="true" outlineLevel="0" collapsed="false">
      <c r="B35" s="23" t="str">
        <f aca="false">'Base Novo Hamburgo'!B16</f>
        <v>APS MONTENEGRO</v>
      </c>
      <c r="C35" s="25" t="n">
        <f aca="false">'Base Novo Hamburgo'!AO16</f>
        <v>1196.60552057251</v>
      </c>
      <c r="D35" s="25" t="n">
        <f aca="false">C35*3</f>
        <v>3589.81656171752</v>
      </c>
      <c r="E35" s="25" t="n">
        <f aca="false">C35+D35</f>
        <v>4786.42208229002</v>
      </c>
      <c r="F35" s="25" t="n">
        <f aca="false">C35*12</f>
        <v>14359.2662468701</v>
      </c>
      <c r="G35" s="25" t="n">
        <f aca="false">F35*3</f>
        <v>43077.7987406102</v>
      </c>
      <c r="H35" s="25" t="n">
        <f aca="false">F35+G35</f>
        <v>57437.0649874803</v>
      </c>
      <c r="I35" s="37" t="n">
        <f aca="false">F35/$E$7</f>
        <v>0.0361049401334745</v>
      </c>
    </row>
    <row r="36" customFormat="false" ht="16.5" hidden="false" customHeight="true" outlineLevel="0" collapsed="false">
      <c r="B36" s="23" t="str">
        <f aca="false">'Base Novo Hamburgo'!B17</f>
        <v>APS SÃO SEBASTIÃO DO CAÍ</v>
      </c>
      <c r="C36" s="25" t="n">
        <f aca="false">'Base Novo Hamburgo'!AO17</f>
        <v>957.485831936355</v>
      </c>
      <c r="D36" s="25" t="n">
        <f aca="false">C36*3</f>
        <v>2872.45749580906</v>
      </c>
      <c r="E36" s="25" t="n">
        <f aca="false">C36+D36</f>
        <v>3829.94332774542</v>
      </c>
      <c r="F36" s="25" t="n">
        <f aca="false">C36*12</f>
        <v>11489.8299832363</v>
      </c>
      <c r="G36" s="25" t="n">
        <f aca="false">F36*3</f>
        <v>34469.4899497088</v>
      </c>
      <c r="H36" s="25" t="n">
        <f aca="false">F36+G36</f>
        <v>45959.319932945</v>
      </c>
      <c r="I36" s="37" t="n">
        <f aca="false">F36/$E$7</f>
        <v>0.028890029375907</v>
      </c>
    </row>
    <row r="37" customFormat="false" ht="16.5" hidden="false" customHeight="true" outlineLevel="0" collapsed="false">
      <c r="B37" s="23" t="str">
        <f aca="false">'Base Novo Hamburgo'!B18</f>
        <v>APS ESTRELA</v>
      </c>
      <c r="C37" s="25" t="n">
        <f aca="false">'Base Novo Hamburgo'!AO18</f>
        <v>1050.49073320258</v>
      </c>
      <c r="D37" s="25" t="n">
        <f aca="false">C37*3</f>
        <v>3151.47219960773</v>
      </c>
      <c r="E37" s="25" t="n">
        <f aca="false">C37+D37</f>
        <v>4201.96293281031</v>
      </c>
      <c r="F37" s="25" t="n">
        <f aca="false">C37*12</f>
        <v>12605.8887984309</v>
      </c>
      <c r="G37" s="25" t="n">
        <f aca="false">F37*3</f>
        <v>37817.6663952928</v>
      </c>
      <c r="H37" s="25" t="n">
        <f aca="false">F37+G37</f>
        <v>50423.5551937237</v>
      </c>
      <c r="I37" s="37" t="n">
        <f aca="false">F37/$E$7</f>
        <v>0.0316962477449566</v>
      </c>
    </row>
    <row r="38" customFormat="false" ht="16.5" hidden="false" customHeight="true" outlineLevel="0" collapsed="false">
      <c r="B38" s="23" t="str">
        <f aca="false">'Base Novo Hamburgo'!B19</f>
        <v>APS LAJEADO</v>
      </c>
      <c r="C38" s="25" t="n">
        <f aca="false">'Base Novo Hamburgo'!AO19</f>
        <v>1312.29573171786</v>
      </c>
      <c r="D38" s="25" t="n">
        <f aca="false">C38*3</f>
        <v>3936.88719515359</v>
      </c>
      <c r="E38" s="25" t="n">
        <f aca="false">C38+D38</f>
        <v>5249.18292687145</v>
      </c>
      <c r="F38" s="25" t="n">
        <f aca="false">C38*12</f>
        <v>15747.5487806143</v>
      </c>
      <c r="G38" s="25" t="n">
        <f aca="false">F38*3</f>
        <v>47242.646341843</v>
      </c>
      <c r="H38" s="25" t="n">
        <f aca="false">F38+G38</f>
        <v>62990.1951224574</v>
      </c>
      <c r="I38" s="37" t="n">
        <f aca="false">F38/$E$7</f>
        <v>0.0395956378409644</v>
      </c>
    </row>
    <row r="39" customFormat="false" ht="16.5" hidden="false" customHeight="true" outlineLevel="0" collapsed="false">
      <c r="B39" s="23" t="str">
        <f aca="false">'Base Novo Hamburgo'!B20</f>
        <v>APS Encantado</v>
      </c>
      <c r="C39" s="25" t="n">
        <f aca="false">'Base Novo Hamburgo'!AO20</f>
        <v>1516.6730329514</v>
      </c>
      <c r="D39" s="25" t="n">
        <f aca="false">C39*3</f>
        <v>4550.0190988542</v>
      </c>
      <c r="E39" s="25" t="n">
        <f aca="false">C39+D39</f>
        <v>6066.69213180561</v>
      </c>
      <c r="F39" s="25" t="n">
        <f aca="false">C39*12</f>
        <v>18200.0763954168</v>
      </c>
      <c r="G39" s="25" t="n">
        <f aca="false">F39*3</f>
        <v>54600.2291862505</v>
      </c>
      <c r="H39" s="25" t="n">
        <f aca="false">F39+G39</f>
        <v>72800.3055816673</v>
      </c>
      <c r="I39" s="37" t="n">
        <f aca="false">F39/$E$7</f>
        <v>0.0457622734604855</v>
      </c>
    </row>
    <row r="40" customFormat="false" ht="16.5" hidden="false" customHeight="true" outlineLevel="0" collapsed="false">
      <c r="B40" s="23" t="str">
        <f aca="false">'Base Novo Hamburgo'!B21</f>
        <v>APS TEUTÔNIA</v>
      </c>
      <c r="C40" s="25" t="n">
        <f aca="false">'Base Novo Hamburgo'!AO21</f>
        <v>1021.32102903644</v>
      </c>
      <c r="D40" s="25" t="n">
        <f aca="false">C40*3</f>
        <v>3063.96308710932</v>
      </c>
      <c r="E40" s="25" t="n">
        <f aca="false">C40+D40</f>
        <v>4085.28411614575</v>
      </c>
      <c r="F40" s="25" t="n">
        <f aca="false">C40*12</f>
        <v>12255.8523484373</v>
      </c>
      <c r="G40" s="25" t="n">
        <f aca="false">F40*3</f>
        <v>36767.5570453118</v>
      </c>
      <c r="H40" s="25" t="n">
        <f aca="false">F40+G40</f>
        <v>49023.409393749</v>
      </c>
      <c r="I40" s="37" t="n">
        <f aca="false">F40/$E$7</f>
        <v>0.0308161160687081</v>
      </c>
    </row>
    <row r="41" customFormat="false" ht="16.5" hidden="false" customHeight="true" outlineLevel="0" collapsed="false">
      <c r="B41" s="23" t="str">
        <f aca="false">'Base Novo Hamburgo'!B22</f>
        <v>APS TAQUARA</v>
      </c>
      <c r="C41" s="25" t="n">
        <f aca="false">'Base Novo Hamburgo'!AO22</f>
        <v>1251.00752513123</v>
      </c>
      <c r="D41" s="25" t="n">
        <f aca="false">C41*3</f>
        <v>3753.02257539368</v>
      </c>
      <c r="E41" s="25" t="n">
        <f aca="false">C41+D41</f>
        <v>5004.0301005249</v>
      </c>
      <c r="F41" s="25" t="n">
        <f aca="false">C41*12</f>
        <v>15012.0903015747</v>
      </c>
      <c r="G41" s="25" t="n">
        <f aca="false">F41*3</f>
        <v>45036.2709047241</v>
      </c>
      <c r="H41" s="25" t="n">
        <f aca="false">F41+G41</f>
        <v>60048.3612062988</v>
      </c>
      <c r="I41" s="37" t="n">
        <f aca="false">F41/$E$7</f>
        <v>0.0377464009858312</v>
      </c>
    </row>
    <row r="42" customFormat="false" ht="16.5" hidden="false" customHeight="true" outlineLevel="0" collapsed="false">
      <c r="B42" s="23" t="str">
        <f aca="false">'Base Novo Hamburgo'!B23</f>
        <v>APS SANTO ANTÔNIO DA PATRULHA</v>
      </c>
      <c r="C42" s="25" t="n">
        <f aca="false">'Base Novo Hamburgo'!AO23</f>
        <v>906.143450047745</v>
      </c>
      <c r="D42" s="25" t="n">
        <f aca="false">C42*3</f>
        <v>2718.43035014324</v>
      </c>
      <c r="E42" s="25" t="n">
        <f aca="false">C42+D42</f>
        <v>3624.57380019098</v>
      </c>
      <c r="F42" s="25" t="n">
        <f aca="false">C42*12</f>
        <v>10873.7214005729</v>
      </c>
      <c r="G42" s="25" t="n">
        <f aca="false">F42*3</f>
        <v>32621.1642017188</v>
      </c>
      <c r="H42" s="25" t="n">
        <f aca="false">F42+G42</f>
        <v>43494.8856022918</v>
      </c>
      <c r="I42" s="37" t="n">
        <f aca="false">F42/$E$7</f>
        <v>0.0273408859092185</v>
      </c>
    </row>
    <row r="43" customFormat="false" ht="16.5" hidden="false" customHeight="true" outlineLevel="0" collapsed="false">
      <c r="B43" s="23" t="str">
        <f aca="false">'Base Novo Hamburgo'!B24</f>
        <v>APS OSÓRIO</v>
      </c>
      <c r="C43" s="25" t="n">
        <f aca="false">'Base Novo Hamburgo'!AO24</f>
        <v>1620.72552231315</v>
      </c>
      <c r="D43" s="25" t="n">
        <f aca="false">C43*3</f>
        <v>4862.17656693946</v>
      </c>
      <c r="E43" s="25" t="n">
        <f aca="false">C43+D43</f>
        <v>6482.90208925261</v>
      </c>
      <c r="F43" s="25" t="n">
        <f aca="false">C43*12</f>
        <v>19448.7062677578</v>
      </c>
      <c r="G43" s="25" t="n">
        <f aca="false">F43*3</f>
        <v>58346.1188032735</v>
      </c>
      <c r="H43" s="25" t="n">
        <f aca="false">F43+G43</f>
        <v>77794.8250710313</v>
      </c>
      <c r="I43" s="37" t="n">
        <f aca="false">F43/$E$7</f>
        <v>0.0489018285056165</v>
      </c>
    </row>
    <row r="44" customFormat="false" ht="16.5" hidden="false" customHeight="true" outlineLevel="0" collapsed="false">
      <c r="B44" s="23" t="str">
        <f aca="false">'Base Novo Hamburgo'!B25</f>
        <v>APS BUTIÁ</v>
      </c>
      <c r="C44" s="25" t="n">
        <f aca="false">'Base Novo Hamburgo'!AO25</f>
        <v>1079.55434886318</v>
      </c>
      <c r="D44" s="25" t="n">
        <f aca="false">C44*3</f>
        <v>3238.66304658955</v>
      </c>
      <c r="E44" s="25" t="n">
        <f aca="false">C44+D44</f>
        <v>4318.21739545273</v>
      </c>
      <c r="F44" s="25" t="n">
        <f aca="false">C44*12</f>
        <v>12954.6521863582</v>
      </c>
      <c r="G44" s="25" t="n">
        <f aca="false">F44*3</f>
        <v>38863.9565590745</v>
      </c>
      <c r="H44" s="25" t="n">
        <f aca="false">F44+G44</f>
        <v>51818.6087454327</v>
      </c>
      <c r="I44" s="37" t="n">
        <f aca="false">F44/$E$7</f>
        <v>0.0325731784338492</v>
      </c>
    </row>
    <row r="45" customFormat="false" ht="16.5" hidden="false" customHeight="true" outlineLevel="0" collapsed="false">
      <c r="B45" s="23" t="str">
        <f aca="false">'Base Novo Hamburgo'!B26</f>
        <v>APS SÃO JERÔNIMO</v>
      </c>
      <c r="C45" s="25" t="n">
        <f aca="false">'Base Novo Hamburgo'!AO26</f>
        <v>1318.67403749933</v>
      </c>
      <c r="D45" s="25" t="n">
        <f aca="false">C45*3</f>
        <v>3956.022112498</v>
      </c>
      <c r="E45" s="25" t="n">
        <f aca="false">C45+D45</f>
        <v>5274.69614999733</v>
      </c>
      <c r="F45" s="25" t="n">
        <f aca="false">C45*12</f>
        <v>15824.088449992</v>
      </c>
      <c r="G45" s="25" t="n">
        <f aca="false">F45*3</f>
        <v>47472.265349976</v>
      </c>
      <c r="H45" s="25" t="n">
        <f aca="false">F45+G45</f>
        <v>63296.3537999679</v>
      </c>
      <c r="I45" s="37" t="n">
        <f aca="false">F45/$E$7</f>
        <v>0.0397880891914168</v>
      </c>
    </row>
    <row r="46" customFormat="false" ht="16.5" hidden="false" customHeight="true" outlineLevel="0" collapsed="false">
      <c r="B46" s="23" t="str">
        <f aca="false">'Base Novo Hamburgo'!B27</f>
        <v>APS TAQUARI</v>
      </c>
      <c r="C46" s="25" t="n">
        <f aca="false">'Base Novo Hamburgo'!AO27</f>
        <v>1181.05675922503</v>
      </c>
      <c r="D46" s="25" t="n">
        <f aca="false">C46*3</f>
        <v>3543.17027767509</v>
      </c>
      <c r="E46" s="25" t="n">
        <f aca="false">C46+D46</f>
        <v>4724.22703690013</v>
      </c>
      <c r="F46" s="25" t="n">
        <f aca="false">C46*12</f>
        <v>14172.6811107004</v>
      </c>
      <c r="G46" s="25" t="n">
        <f aca="false">F46*3</f>
        <v>42518.0433321011</v>
      </c>
      <c r="H46" s="25" t="n">
        <f aca="false">F46+G46</f>
        <v>56690.7244428015</v>
      </c>
      <c r="I46" s="37" t="n">
        <f aca="false">F46/$E$7</f>
        <v>0.0356357904530254</v>
      </c>
    </row>
    <row r="47" customFormat="false" ht="22.5" hidden="false" customHeight="true" outlineLevel="0" collapsed="false">
      <c r="B47" s="38" t="str">
        <f aca="false">"Total Base "&amp;B6</f>
        <v>Total Base NOVO HAMBURGO</v>
      </c>
      <c r="C47" s="38" t="e">
        <f aca="false">SUM(C25:C46)</f>
        <v>#REF!</v>
      </c>
      <c r="D47" s="38" t="e">
        <f aca="false">SUM(D25:D46)</f>
        <v>#REF!</v>
      </c>
      <c r="E47" s="38" t="e">
        <f aca="false">SUM(E25:E46)</f>
        <v>#REF!</v>
      </c>
      <c r="F47" s="38" t="e">
        <f aca="false">SUM(F25:F46)</f>
        <v>#REF!</v>
      </c>
      <c r="G47" s="38" t="e">
        <f aca="false">SUM(G25:G46)</f>
        <v>#REF!</v>
      </c>
      <c r="H47" s="38" t="e">
        <f aca="false">SUM(H25:H46)</f>
        <v>#REF!</v>
      </c>
      <c r="I47" s="39" t="e">
        <f aca="false">SUM(I25:I46)</f>
        <v>#REF!</v>
      </c>
    </row>
    <row r="48" customFormat="false" ht="22.5" hidden="false" customHeight="true" outlineLevel="0" collapsed="false">
      <c r="B48" s="42"/>
      <c r="C48" s="40"/>
      <c r="D48" s="40"/>
      <c r="E48" s="40"/>
      <c r="F48" s="40"/>
      <c r="G48" s="40"/>
      <c r="H48" s="40"/>
      <c r="I48" s="41"/>
    </row>
  </sheetData>
  <mergeCells count="7">
    <mergeCell ref="B2:I2"/>
    <mergeCell ref="B9:B10"/>
    <mergeCell ref="C9:E9"/>
    <mergeCell ref="F9:H9"/>
    <mergeCell ref="B23:B24"/>
    <mergeCell ref="C23:E23"/>
    <mergeCell ref="F23:H23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3" t="str">
        <f aca="false">"CÁLCULO DO CUSTO DA EQUIPE TÉCNICA PARA O "&amp;'Valor da Contratação'!B7&amp;""</f>
        <v>CÁLCULO DO CUSTO DA EQUIPE TÉCNICA PARA O POLO VIII</v>
      </c>
      <c r="C2" s="43"/>
      <c r="D2" s="43"/>
      <c r="E2" s="43"/>
    </row>
    <row r="3" customFormat="false" ht="15" hidden="false" customHeight="true" outlineLevel="0" collapsed="false">
      <c r="B3" s="44"/>
      <c r="C3" s="44"/>
      <c r="D3" s="44"/>
      <c r="E3" s="44"/>
    </row>
    <row r="4" customFormat="false" ht="45.75" hidden="false" customHeight="true" outlineLevel="0" collapsed="false">
      <c r="B4" s="45" t="s">
        <v>30</v>
      </c>
      <c r="C4" s="46" t="s">
        <v>31</v>
      </c>
      <c r="D4" s="46" t="s">
        <v>32</v>
      </c>
      <c r="E4" s="46" t="s">
        <v>33</v>
      </c>
    </row>
    <row r="5" customFormat="false" ht="19.5" hidden="false" customHeight="true" outlineLevel="0" collapsed="false">
      <c r="B5" s="45"/>
      <c r="C5" s="47" t="n">
        <v>135.8</v>
      </c>
      <c r="D5" s="48" t="n">
        <f aca="false">'Comp. Eng. Eletricista'!D11</f>
        <v>171.776832</v>
      </c>
      <c r="E5" s="47" t="n">
        <v>36.14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7" t="n">
        <f aca="false">C5*C6</f>
        <v>10864</v>
      </c>
      <c r="D7" s="47" t="n">
        <f aca="false">D5*D6</f>
        <v>2748.429312</v>
      </c>
      <c r="E7" s="47" t="n">
        <f aca="false">E5*E6</f>
        <v>2891.2</v>
      </c>
    </row>
    <row r="8" customFormat="false" ht="19.5" hidden="false" customHeight="true" outlineLevel="0" collapsed="false">
      <c r="B8" s="49" t="s">
        <v>36</v>
      </c>
      <c r="C8" s="47" t="n">
        <f aca="false">C5*C6*12</f>
        <v>130368</v>
      </c>
      <c r="D8" s="47" t="n">
        <f aca="false">D5*D6*12</f>
        <v>32981.151744</v>
      </c>
      <c r="E8" s="47" t="n">
        <f aca="false">E5*E6*12</f>
        <v>34694.4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5" t="s">
        <v>38</v>
      </c>
      <c r="C11" s="45"/>
      <c r="E11" s="52"/>
    </row>
    <row r="12" customFormat="false" ht="19.5" hidden="false" customHeight="true" outlineLevel="0" collapsed="false">
      <c r="B12" s="49" t="s">
        <v>39</v>
      </c>
      <c r="C12" s="47" t="n">
        <f aca="false">SUM(C7:E7)</f>
        <v>16503.629312</v>
      </c>
      <c r="E12" s="52"/>
    </row>
    <row r="13" customFormat="false" ht="19.5" hidden="false" customHeight="true" outlineLevel="0" collapsed="false">
      <c r="B13" s="49" t="s">
        <v>40</v>
      </c>
      <c r="C13" s="47" t="n">
        <f aca="false">SUM(C8:E8)</f>
        <v>198043.551744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22"/>
  <sheetViews>
    <sheetView showFormulas="false" showGridLines="false" showRowColHeaders="true" showZeros="true" rightToLeft="false" tabSelected="false" showOutlineSymbols="true" defaultGridColor="true" view="normal" topLeftCell="AK1" colorId="64" zoomScale="100" zoomScaleNormal="100" zoomScalePageLayoutView="100" workbookViewId="0">
      <selection pane="topLeft" activeCell="AP6" activeCellId="0" sqref="AP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8.38"/>
    <col collapsed="false" customWidth="true" hidden="false" outlineLevel="0" max="17" min="17" style="17" width="33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"/>
    <col collapsed="false" customWidth="true" hidden="false" outlineLevel="0" max="36" min="36" style="17" width="10.62"/>
    <col collapsed="false" customWidth="true" hidden="false" outlineLevel="0" max="40" min="37" style="17" width="11.75"/>
    <col collapsed="false" customWidth="true" hidden="false" outlineLevel="0" max="42" min="41" style="17" width="11.38"/>
    <col collapsed="false" customWidth="true" hidden="false" outlineLevel="0" max="43" min="43" style="17" width="12.88"/>
    <col collapsed="false" customWidth="true" hidden="false" outlineLevel="0" max="44" min="44" style="17" width="3.38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256" min="50" style="17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CAXIAS DO SUL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3" t="str">
        <f aca="false">"BASE "&amp;Resumo!B5&amp;" – PLANILHA DE DISTRIBUIÇÃO DE CUSTOS POR UNIDADE"</f>
        <v>BASE CAXIAS DO SUL – PLANILHA DE DISTRIBUIÇÃO DE CUSTOS POR UNIDADE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56"/>
      <c r="AI2" s="57" t="str">
        <f aca="false">"BASE "&amp;Resumo!B5&amp;" – PLANILHA RESUMO DE CUSTOS DA BASE"</f>
        <v>BASE CAXIAS DO SUL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4" customFormat="true" ht="19.5" hidden="false" customHeight="true" outlineLevel="0" collapsed="false">
      <c r="B4" s="46" t="s">
        <v>41</v>
      </c>
      <c r="C4" s="46" t="s">
        <v>42</v>
      </c>
      <c r="D4" s="46"/>
      <c r="E4" s="46"/>
      <c r="F4" s="46"/>
      <c r="G4" s="46"/>
      <c r="H4" s="46" t="s">
        <v>43</v>
      </c>
      <c r="I4" s="46"/>
      <c r="J4" s="46"/>
      <c r="K4" s="46"/>
      <c r="L4" s="46"/>
      <c r="M4" s="46"/>
      <c r="N4" s="46"/>
      <c r="O4" s="46" t="s">
        <v>28</v>
      </c>
      <c r="P4" s="55"/>
      <c r="Q4" s="46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6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CAXIAS DO SUL</v>
      </c>
      <c r="AT4" s="59"/>
      <c r="AU4" s="59"/>
      <c r="AV4" s="59"/>
      <c r="AW4" s="59"/>
    </row>
    <row r="5" customFormat="false" ht="39.75" hidden="false" customHeight="true" outlineLevel="0" collapsed="false">
      <c r="B5" s="46"/>
      <c r="C5" s="46" t="s">
        <v>28</v>
      </c>
      <c r="D5" s="46" t="s">
        <v>51</v>
      </c>
      <c r="E5" s="46" t="s">
        <v>52</v>
      </c>
      <c r="F5" s="46" t="s">
        <v>53</v>
      </c>
      <c r="G5" s="46" t="s">
        <v>54</v>
      </c>
      <c r="H5" s="46" t="s">
        <v>55</v>
      </c>
      <c r="I5" s="46" t="s">
        <v>56</v>
      </c>
      <c r="J5" s="46" t="s">
        <v>57</v>
      </c>
      <c r="K5" s="46" t="s">
        <v>58</v>
      </c>
      <c r="L5" s="46" t="s">
        <v>59</v>
      </c>
      <c r="M5" s="46" t="s">
        <v>60</v>
      </c>
      <c r="N5" s="46" t="s">
        <v>61</v>
      </c>
      <c r="O5" s="46"/>
      <c r="P5" s="55"/>
      <c r="Q5" s="46"/>
      <c r="R5" s="46" t="s">
        <v>62</v>
      </c>
      <c r="S5" s="46" t="s">
        <v>63</v>
      </c>
      <c r="T5" s="46" t="s">
        <v>64</v>
      </c>
      <c r="U5" s="46" t="s">
        <v>65</v>
      </c>
      <c r="V5" s="46" t="s">
        <v>66</v>
      </c>
      <c r="W5" s="46" t="s">
        <v>67</v>
      </c>
      <c r="X5" s="46" t="s">
        <v>68</v>
      </c>
      <c r="Y5" s="46" t="s">
        <v>69</v>
      </c>
      <c r="Z5" s="46" t="s">
        <v>70</v>
      </c>
      <c r="AA5" s="46"/>
      <c r="AB5" s="46"/>
      <c r="AC5" s="46" t="n">
        <f aca="false">N17+'Base Novo Hamburgo'!N28</f>
        <v>1169.35</v>
      </c>
      <c r="AD5" s="58" t="s">
        <v>62</v>
      </c>
      <c r="AE5" s="58" t="s">
        <v>63</v>
      </c>
      <c r="AF5" s="58" t="s">
        <v>64</v>
      </c>
      <c r="AG5" s="58" t="s">
        <v>65</v>
      </c>
      <c r="AI5" s="46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6"/>
      <c r="C6" s="61" t="s">
        <v>76</v>
      </c>
      <c r="D6" s="61" t="n">
        <v>1</v>
      </c>
      <c r="E6" s="61" t="n">
        <v>0.35</v>
      </c>
      <c r="F6" s="61" t="n">
        <v>0.1</v>
      </c>
      <c r="G6" s="46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6"/>
      <c r="O6" s="46"/>
      <c r="P6" s="62"/>
      <c r="Q6" s="46"/>
      <c r="R6" s="61" t="s">
        <v>77</v>
      </c>
      <c r="S6" s="61" t="s">
        <v>78</v>
      </c>
      <c r="T6" s="61" t="s">
        <v>79</v>
      </c>
      <c r="U6" s="61" t="s">
        <v>80</v>
      </c>
      <c r="V6" s="46"/>
      <c r="W6" s="46"/>
      <c r="X6" s="46"/>
      <c r="Y6" s="46"/>
      <c r="Z6" s="36" t="s">
        <v>62</v>
      </c>
      <c r="AA6" s="36" t="s">
        <v>63</v>
      </c>
      <c r="AB6" s="36" t="s">
        <v>64</v>
      </c>
      <c r="AC6" s="36" t="s">
        <v>65</v>
      </c>
      <c r="AD6" s="58"/>
      <c r="AE6" s="58"/>
      <c r="AF6" s="58"/>
      <c r="AG6" s="58"/>
      <c r="AI6" s="46"/>
      <c r="AJ6" s="58"/>
      <c r="AK6" s="58"/>
      <c r="AL6" s="58"/>
      <c r="AM6" s="58"/>
      <c r="AN6" s="58"/>
      <c r="AO6" s="58"/>
      <c r="AP6" s="58" t="n">
        <f aca="false">72.5/27.5</f>
        <v>2.63636363636364</v>
      </c>
      <c r="AQ6" s="58"/>
      <c r="AR6" s="63"/>
      <c r="AS6" s="58"/>
      <c r="AT6" s="36" t="s">
        <v>77</v>
      </c>
      <c r="AU6" s="36" t="s">
        <v>78</v>
      </c>
      <c r="AV6" s="36" t="s">
        <v>79</v>
      </c>
      <c r="AW6" s="36" t="s">
        <v>80</v>
      </c>
    </row>
    <row r="7" s="2" customFormat="true" ht="15" hidden="false" customHeight="true" outlineLevel="0" collapsed="false">
      <c r="B7" s="64" t="s">
        <v>81</v>
      </c>
      <c r="C7" s="65" t="n">
        <f aca="false">VLOOKUP($B7,Unidades!$D$5:$N$31,6,FALSE())</f>
        <v>2811.03</v>
      </c>
      <c r="D7" s="65" t="n">
        <f aca="false">VLOOKUP($B7,Unidades!$D$5:$N$31,7,FALSE())</f>
        <v>2471.36</v>
      </c>
      <c r="E7" s="65" t="n">
        <f aca="false">VLOOKUP($B7,Unidades!$D$5:$N$31,8,FALSE())</f>
        <v>339.67</v>
      </c>
      <c r="F7" s="65" t="n">
        <f aca="false">VLOOKUP($B7,Unidades!$D$5:$N$31,9,FALSE())</f>
        <v>0</v>
      </c>
      <c r="G7" s="65" t="n">
        <f aca="false">D7+E7*$E$6+F7*$F$6</f>
        <v>2590.2445</v>
      </c>
      <c r="H7" s="66" t="n">
        <f aca="false">IF(G7&lt;750,1.5,IF(G7&lt;2000,2,IF(G7&lt;4000,3,12)))</f>
        <v>3</v>
      </c>
      <c r="I7" s="66" t="n">
        <f aca="false">$I$6*H7</f>
        <v>3.6</v>
      </c>
      <c r="J7" s="66" t="str">
        <f aca="false">VLOOKUP($B7,Unidades!$D$5:$N$31,10,FALSE())</f>
        <v>SIM</v>
      </c>
      <c r="K7" s="66" t="str">
        <f aca="false">VLOOKUP($B7,Unidades!$D$5:$N$31,11,FALSE())</f>
        <v>SIM</v>
      </c>
      <c r="L7" s="66" t="n">
        <f aca="false">$L$6*H7+(IF(J7="SIM",$J$6,0))</f>
        <v>5.3</v>
      </c>
      <c r="M7" s="66" t="n">
        <f aca="false">$M$6*H7+(IF(J7="SIM",$J$6,0))+(IF(K7="SIM",$K$6,0))</f>
        <v>9.3</v>
      </c>
      <c r="N7" s="66" t="n">
        <f aca="false">H7*12+I7*4+L7*2+M7</f>
        <v>70.3</v>
      </c>
      <c r="O7" s="67" t="n">
        <f aca="false">IF(K7="não", N7*(C$20+D$20),N7*(C$20+D$20)+(M7*+E$20))</f>
        <v>4077.0926476</v>
      </c>
      <c r="P7" s="68"/>
      <c r="Q7" s="23" t="str">
        <f aca="false">B7</f>
        <v>GEX/APS CAXIAS DO SUL</v>
      </c>
      <c r="R7" s="25" t="n">
        <f aca="false">H7*($C$20+$D$20)</f>
        <v>159.632076</v>
      </c>
      <c r="S7" s="25" t="n">
        <f aca="false">I7*($C$20+$D$20)</f>
        <v>191.5584912</v>
      </c>
      <c r="T7" s="25" t="n">
        <f aca="false">L7*($C$20+$D$20)</f>
        <v>282.0166676</v>
      </c>
      <c r="U7" s="25" t="n">
        <f aca="false">IF(K7="não",M7*($C$20+$D$20),M7*(C$20+D$20+E$20))</f>
        <v>831.2404356</v>
      </c>
      <c r="V7" s="25" t="n">
        <f aca="false">VLOOKUP(Q7,'Desl. Base Caxias do Sul'!$C$5:$S$14,13,FALSE())*($C$20+$D$20+$E$20*(VLOOKUP(Q7,'Desl. Base Caxias do Sul'!$C$5:$S$14,17,FALSE())/12))</f>
        <v>0</v>
      </c>
      <c r="W7" s="25" t="n">
        <f aca="false">VLOOKUP(Q7,'Desl. Base Caxias do Sul'!$C$5:$S$14,15,FALSE())*(2+(VLOOKUP(Q7,'Desl. Base Caxias do Sul'!$C$5:$S$14,17,FALSE())/12))</f>
        <v>0</v>
      </c>
      <c r="X7" s="25" t="n">
        <f aca="false">VLOOKUP(Q7,'Desl. Base Caxias do Sul'!$C$5:$Q$14,14,FALSE())</f>
        <v>0</v>
      </c>
      <c r="Y7" s="25" t="n">
        <f aca="false">VLOOKUP(Q7,'Desl. Base Caxias do Sul'!$C$5:$Q$14,13,FALSE())*'Desl. Base Caxias do Sul'!$E$19+'Desl. Base Caxias do Sul'!$E$20*N7/12</f>
        <v>38.4306666666667</v>
      </c>
      <c r="Z7" s="25" t="n">
        <f aca="false">(H7/$AC$5)*'Equipe Técnica'!$C$13</f>
        <v>508.086248969085</v>
      </c>
      <c r="AA7" s="25" t="n">
        <f aca="false">(I7/$AC$5)*'Equipe Técnica'!$C$13</f>
        <v>609.703498762902</v>
      </c>
      <c r="AB7" s="25" t="n">
        <f aca="false">(L7/$AC$5)*'Equipe Técnica'!$C$13</f>
        <v>897.619039845385</v>
      </c>
      <c r="AC7" s="25" t="n">
        <f aca="false">(M7/$AC$5)*'Equipe Técnica'!$C$13</f>
        <v>1575.06737180416</v>
      </c>
      <c r="AD7" s="25" t="n">
        <f aca="false">R7+(($V7+$W7+$X7+$Y7)*12/19)+$Z7</f>
        <v>691.990324969085</v>
      </c>
      <c r="AE7" s="25" t="n">
        <f aca="false">S7+(($V7+$W7+$X7+$Y7)*12/19)+$AA7</f>
        <v>825.533989962902</v>
      </c>
      <c r="AF7" s="25" t="n">
        <f aca="false">T7+(($V7+$W7+$X7+$Y7)*12/19)+$AB7</f>
        <v>1203.90770744538</v>
      </c>
      <c r="AG7" s="25" t="n">
        <f aca="false">U7+(($V7+$W7+$X7+$Y7)*12/19)+$AC7</f>
        <v>2430.57980740417</v>
      </c>
      <c r="AI7" s="23" t="str">
        <f aca="false">B7</f>
        <v>GEX/APS CAXIAS DO SUL</v>
      </c>
      <c r="AJ7" s="69" t="n">
        <f aca="false">VLOOKUP(AI7,Unidades!D$5:H$31,5,)</f>
        <v>0.2487</v>
      </c>
      <c r="AK7" s="47" t="n">
        <f aca="false">AD7*(1+$AJ7)</f>
        <v>864.088318788897</v>
      </c>
      <c r="AL7" s="47" t="n">
        <f aca="false">AE7*(1+$AJ7)</f>
        <v>1030.84429326668</v>
      </c>
      <c r="AM7" s="47" t="n">
        <f aca="false">AF7*(1+$AJ7)</f>
        <v>1503.31955428705</v>
      </c>
      <c r="AN7" s="47" t="n">
        <f aca="false">AG7*(1+$AJ7)</f>
        <v>3035.06500550558</v>
      </c>
      <c r="AO7" s="47" t="n">
        <f aca="false">((AK7*12)+(AL7*4)+(AM7*2)+AN7)/12</f>
        <v>1711.1784260511</v>
      </c>
      <c r="AP7" s="47" t="n">
        <f aca="false">AO7*$AP$6</f>
        <v>4511.28857777107</v>
      </c>
      <c r="AQ7" s="47" t="n">
        <f aca="false">AO7+AP7</f>
        <v>6222.46700382217</v>
      </c>
      <c r="AR7" s="70"/>
      <c r="AS7" s="71" t="s">
        <v>82</v>
      </c>
      <c r="AT7" s="47" t="n">
        <f aca="false">AK17</f>
        <v>6019.02574164061</v>
      </c>
      <c r="AU7" s="47" t="n">
        <f aca="false">AL17</f>
        <v>6984.13913136768</v>
      </c>
      <c r="AV7" s="47" t="n">
        <f aca="false">AM17</f>
        <v>7057.43568476341</v>
      </c>
      <c r="AW7" s="47" t="n">
        <f aca="false">AN17</f>
        <v>9966.09015247102</v>
      </c>
    </row>
    <row r="8" s="2" customFormat="true" ht="15" hidden="false" customHeight="true" outlineLevel="0" collapsed="false">
      <c r="B8" s="64" t="s">
        <v>83</v>
      </c>
      <c r="C8" s="65" t="n">
        <f aca="false">VLOOKUP($B8,Unidades!$D$5:$N$31,6,FALSE())</f>
        <v>792.76</v>
      </c>
      <c r="D8" s="65" t="n">
        <f aca="false">VLOOKUP($B8,Unidades!$D$5:$N$31,7,FALSE())</f>
        <v>20.46</v>
      </c>
      <c r="E8" s="65" t="n">
        <f aca="false">VLOOKUP($B8,Unidades!$D$5:$N$31,8,FALSE())</f>
        <v>772.3</v>
      </c>
      <c r="F8" s="65" t="n">
        <f aca="false">VLOOKUP($B8,Unidades!$D$5:$N$31,9,FALSE())</f>
        <v>0</v>
      </c>
      <c r="G8" s="65" t="n">
        <f aca="false">D8+E8*$E$6+F8*$F$6</f>
        <v>290.765</v>
      </c>
      <c r="H8" s="66" t="n">
        <f aca="false">IF(G8&lt;750,1.5,IF(G8&lt;2000,2,IF(G8&lt;4000,3,12)))</f>
        <v>1.5</v>
      </c>
      <c r="I8" s="66" t="n">
        <f aca="false">$I$6*H8</f>
        <v>1.8</v>
      </c>
      <c r="J8" s="66" t="str">
        <f aca="false">VLOOKUP($B8,Unidades!$D$5:$N$31,10,FALSE())</f>
        <v>NÃO</v>
      </c>
      <c r="K8" s="66" t="str">
        <f aca="false">VLOOKUP($B8,Unidades!$D$5:$N$31,11,FALSE())</f>
        <v>NÃO</v>
      </c>
      <c r="L8" s="66" t="n">
        <f aca="false">$L$6*H8+(IF(J8="SIM",$J$6,0))</f>
        <v>1.65</v>
      </c>
      <c r="M8" s="66" t="n">
        <f aca="false">$M$6*H8+(IF(J8="SIM",$J$6,0))+(IF(K8="SIM",$K$6,0))</f>
        <v>1.65</v>
      </c>
      <c r="N8" s="66" t="n">
        <f aca="false">H8*12+I8*4+L8*2+M8</f>
        <v>30.15</v>
      </c>
      <c r="O8" s="67" t="n">
        <f aca="false">IF(K8="não", N8*(C$20+D$20),N8*(C$20+D$20)+(M8*+E$20))</f>
        <v>1604.3023638</v>
      </c>
      <c r="P8" s="68"/>
      <c r="Q8" s="23" t="str">
        <f aca="false">B8</f>
        <v>CEDOCPREV CAXIAS DO SUL</v>
      </c>
      <c r="R8" s="25" t="n">
        <f aca="false">H8*($C$20+$D$20)</f>
        <v>79.816038</v>
      </c>
      <c r="S8" s="25" t="n">
        <f aca="false">I8*($C$20+$D$20)</f>
        <v>95.7792456</v>
      </c>
      <c r="T8" s="25" t="n">
        <f aca="false">L8*($C$20+$D$20)</f>
        <v>87.7976418</v>
      </c>
      <c r="U8" s="25" t="n">
        <f aca="false">IF(K8="não",M8*($C$20+$D$20),M8*(C$20+D$20+E$20))</f>
        <v>87.7976418</v>
      </c>
      <c r="V8" s="25" t="n">
        <f aca="false">VLOOKUP(Q8,'Desl. Base Caxias do Sul'!$C$5:$S$14,13,FALSE())*($C$20+$D$20+$E$20*(VLOOKUP(Q8,'Desl. Base Caxias do Sul'!$C$5:$S$14,17,FALSE())/12))</f>
        <v>10.3078907555556</v>
      </c>
      <c r="W8" s="25" t="n">
        <f aca="false">VLOOKUP(Q8,'Desl. Base Caxias do Sul'!$C$5:$S$14,15,FALSE())*(2+(VLOOKUP(Q8,'Desl. Base Caxias do Sul'!$C$5:$S$14,17,FALSE())/12))</f>
        <v>0</v>
      </c>
      <c r="X8" s="25" t="n">
        <f aca="false">VLOOKUP(Q8,'Desl. Base Caxias do Sul'!$C$5:$Q$14,14,FALSE())</f>
        <v>0</v>
      </c>
      <c r="Y8" s="25" t="n">
        <f aca="false">VLOOKUP(Q8,'Desl. Base Caxias do Sul'!$C$5:$Q$14,13,FALSE())*'Desl. Base Caxias do Sul'!$E$19+'Desl. Base Caxias do Sul'!$E$20*N8/12</f>
        <v>26.1051666666667</v>
      </c>
      <c r="Z8" s="25" t="n">
        <f aca="false">(H8/$AC$5)*'Equipe Técnica'!$C$13</f>
        <v>254.043124484543</v>
      </c>
      <c r="AA8" s="25" t="n">
        <f aca="false">(I8/$AC$5)*'Equipe Técnica'!$C$13</f>
        <v>304.851749381451</v>
      </c>
      <c r="AB8" s="25" t="n">
        <f aca="false">(L8/$AC$5)*'Equipe Técnica'!$C$13</f>
        <v>279.447436932997</v>
      </c>
      <c r="AC8" s="25" t="n">
        <f aca="false">(M8/$AC$5)*'Equipe Técnica'!$C$13</f>
        <v>279.447436932997</v>
      </c>
      <c r="AD8" s="25" t="n">
        <f aca="false">R8+(($V8+$W8+$X8+$Y8)*12/19)+$Z8</f>
        <v>356.856882961736</v>
      </c>
      <c r="AE8" s="25" t="n">
        <f aca="false">S8+(($V8+$W8+$X8+$Y8)*12/19)+$AA8</f>
        <v>423.628715458644</v>
      </c>
      <c r="AF8" s="25" t="n">
        <f aca="false">T8+(($V8+$W8+$X8+$Y8)*12/19)+$AB8</f>
        <v>390.24279921019</v>
      </c>
      <c r="AG8" s="25" t="n">
        <f aca="false">U8+(($V8+$W8+$X8+$Y8)*12/19)+$AC8</f>
        <v>390.24279921019</v>
      </c>
      <c r="AI8" s="23" t="str">
        <f aca="false">B8</f>
        <v>CEDOCPREV CAXIAS DO SUL</v>
      </c>
      <c r="AJ8" s="69" t="n">
        <f aca="false">VLOOKUP(AI8,Unidades!D$5:H$31,5,)</f>
        <v>0.2487</v>
      </c>
      <c r="AK8" s="47" t="n">
        <f aca="false">AD8*(1+$AJ8)</f>
        <v>445.607189754319</v>
      </c>
      <c r="AL8" s="47" t="n">
        <f aca="false">AE8*(1+$AJ8)</f>
        <v>528.985176993209</v>
      </c>
      <c r="AM8" s="47" t="n">
        <f aca="false">AF8*(1+$AJ8)</f>
        <v>487.296183373764</v>
      </c>
      <c r="AN8" s="47" t="n">
        <f aca="false">AG8*(1+$AJ8)</f>
        <v>487.296183373764</v>
      </c>
      <c r="AO8" s="47" t="n">
        <f aca="false">((AK8*12)+(AL8*4)+(AM8*2)+AN8)/12</f>
        <v>743.75962792883</v>
      </c>
      <c r="AP8" s="47" t="n">
        <f aca="false">AO8*$AP$6</f>
        <v>1960.82083726692</v>
      </c>
      <c r="AQ8" s="47" t="n">
        <f aca="false">AO8+AP8</f>
        <v>2704.58046519575</v>
      </c>
      <c r="AR8" s="70"/>
      <c r="AS8" s="71" t="s">
        <v>84</v>
      </c>
      <c r="AT8" s="47" t="n">
        <f aca="false">AT7*12</f>
        <v>72228.3088996873</v>
      </c>
      <c r="AU8" s="47" t="n">
        <f aca="false">AU7*4</f>
        <v>27936.5565254707</v>
      </c>
      <c r="AV8" s="47" t="n">
        <f aca="false">AV7*2</f>
        <v>14114.8713695268</v>
      </c>
      <c r="AW8" s="47" t="n">
        <f aca="false">AW7</f>
        <v>9966.09015247102</v>
      </c>
    </row>
    <row r="9" s="2" customFormat="true" ht="15" hidden="false" customHeight="true" outlineLevel="0" collapsed="false">
      <c r="B9" s="64" t="s">
        <v>85</v>
      </c>
      <c r="C9" s="65" t="n">
        <f aca="false">VLOOKUP($B9,Unidades!$D$5:$N$31,6,FALSE())</f>
        <v>226.81</v>
      </c>
      <c r="D9" s="65" t="n">
        <f aca="false">VLOOKUP($B9,Unidades!$D$5:$N$31,7,FALSE())</f>
        <v>0</v>
      </c>
      <c r="E9" s="65" t="n">
        <f aca="false">VLOOKUP($B9,Unidades!$D$5:$N$31,8,FALSE())</f>
        <v>0</v>
      </c>
      <c r="F9" s="65" t="n">
        <f aca="false">VLOOKUP($B9,Unidades!$D$5:$N$31,9,FALSE())</f>
        <v>226.81</v>
      </c>
      <c r="G9" s="65" t="n">
        <f aca="false">D9+E9*$E$6+F9*$F$6</f>
        <v>22.681</v>
      </c>
      <c r="H9" s="66" t="n">
        <f aca="false">IF(G9&lt;750,1.5,IF(G9&lt;2000,2,IF(G9&lt;4000,3,12)))</f>
        <v>1.5</v>
      </c>
      <c r="I9" s="66" t="n">
        <f aca="false">$I$6*H9</f>
        <v>1.8</v>
      </c>
      <c r="J9" s="66" t="str">
        <f aca="false">VLOOKUP($B9,Unidades!$D$5:$N$31,10,FALSE())</f>
        <v>NÃO</v>
      </c>
      <c r="K9" s="66" t="str">
        <f aca="false">VLOOKUP($B9,Unidades!$D$5:$N$31,11,FALSE())</f>
        <v>NÃO</v>
      </c>
      <c r="L9" s="66" t="n">
        <f aca="false">$L$6*H9+(IF(J9="SIM",$J$6,0))</f>
        <v>1.65</v>
      </c>
      <c r="M9" s="66" t="n">
        <f aca="false">$M$6*H9+(IF(J9="SIM",$J$6,0))+(IF(K9="SIM",$K$6,0))</f>
        <v>1.65</v>
      </c>
      <c r="N9" s="66" t="n">
        <f aca="false">H9*12+I9*4+L9*2+M9</f>
        <v>30.15</v>
      </c>
      <c r="O9" s="67" t="n">
        <f aca="false">IF(K9="não", N9*(C$20+D$20),N9*(C$20+D$20)+(M9*+E$20))</f>
        <v>1604.3023638</v>
      </c>
      <c r="P9" s="68"/>
      <c r="Q9" s="23" t="str">
        <f aca="false">B9</f>
        <v>ARQUIVO RUA MARQUÊS DO HERVAL</v>
      </c>
      <c r="R9" s="25" t="n">
        <f aca="false">H9*($C$20+$D$20)</f>
        <v>79.816038</v>
      </c>
      <c r="S9" s="25" t="n">
        <f aca="false">I9*($C$20+$D$20)</f>
        <v>95.7792456</v>
      </c>
      <c r="T9" s="25" t="n">
        <f aca="false">L9*($C$20+$D$20)</f>
        <v>87.7976418</v>
      </c>
      <c r="U9" s="25" t="n">
        <f aca="false">IF(K9="não",M9*($C$20+$D$20),M9*(C$20+D$20+E$20))</f>
        <v>87.7976418</v>
      </c>
      <c r="V9" s="25" t="n">
        <f aca="false">VLOOKUP(Q9,'Desl. Base Caxias do Sul'!$C$5:$S$14,13,FALSE())*($C$20+$D$20+$E$20*(VLOOKUP(Q9,'Desl. Base Caxias do Sul'!$C$5:$S$14,17,FALSE())/12))</f>
        <v>19.0671646333333</v>
      </c>
      <c r="W9" s="25" t="n">
        <f aca="false">VLOOKUP(Q9,'Desl. Base Caxias do Sul'!$C$5:$S$14,15,FALSE())*(2+(VLOOKUP(Q9,'Desl. Base Caxias do Sul'!$C$5:$S$14,17,FALSE())/12))</f>
        <v>0</v>
      </c>
      <c r="X9" s="25" t="n">
        <f aca="false">VLOOKUP(Q9,'Desl. Base Caxias do Sul'!$C$5:$Q$14,14,FALSE())</f>
        <v>0</v>
      </c>
      <c r="Y9" s="25" t="n">
        <f aca="false">VLOOKUP(Q9,'Desl. Base Caxias do Sul'!$C$5:$Q$14,13,FALSE())*'Desl. Base Caxias do Sul'!$E$19+'Desl. Base Caxias do Sul'!$E$20*N9/12</f>
        <v>35.2909166666667</v>
      </c>
      <c r="Z9" s="25" t="n">
        <f aca="false">(H9/$AC$5)*'Equipe Técnica'!$C$13</f>
        <v>254.043124484543</v>
      </c>
      <c r="AA9" s="25" t="n">
        <f aca="false">(I9/$AC$5)*'Equipe Técnica'!$C$13</f>
        <v>304.851749381451</v>
      </c>
      <c r="AB9" s="25" t="n">
        <f aca="false">(L9/$AC$5)*'Equipe Técnica'!$C$13</f>
        <v>279.447436932997</v>
      </c>
      <c r="AC9" s="25" t="n">
        <f aca="false">(M9/$AC$5)*'Equipe Técnica'!$C$13</f>
        <v>279.447436932997</v>
      </c>
      <c r="AD9" s="25" t="n">
        <f aca="false">R9+(($V9+$W9+$X9+$Y9)*12/19)+$Z9</f>
        <v>368.190582252964</v>
      </c>
      <c r="AE9" s="25" t="n">
        <f aca="false">S9+(($V9+$W9+$X9+$Y9)*12/19)+$AA9</f>
        <v>434.962414749872</v>
      </c>
      <c r="AF9" s="25" t="n">
        <f aca="false">T9+(($V9+$W9+$X9+$Y9)*12/19)+$AB9</f>
        <v>401.576498501418</v>
      </c>
      <c r="AG9" s="25" t="n">
        <f aca="false">U9+(($V9+$W9+$X9+$Y9)*12/19)+$AC9</f>
        <v>401.576498501418</v>
      </c>
      <c r="AI9" s="23" t="str">
        <f aca="false">B9</f>
        <v>ARQUIVO RUA MARQUÊS DO HERVAL</v>
      </c>
      <c r="AJ9" s="69" t="n">
        <f aca="false">VLOOKUP(AI9,Unidades!D$5:H$31,5,)</f>
        <v>0.2487</v>
      </c>
      <c r="AK9" s="47" t="n">
        <f aca="false">AD9*(1+$AJ9)</f>
        <v>459.759580059276</v>
      </c>
      <c r="AL9" s="47" t="n">
        <f aca="false">AE9*(1+$AJ9)</f>
        <v>543.137567298165</v>
      </c>
      <c r="AM9" s="47" t="n">
        <f aca="false">AF9*(1+$AJ9)</f>
        <v>501.448573678721</v>
      </c>
      <c r="AN9" s="47" t="n">
        <f aca="false">AG9*(1+$AJ9)</f>
        <v>501.448573678721</v>
      </c>
      <c r="AO9" s="47" t="n">
        <f aca="false">((AK9*12)+(AL9*4)+(AM9*2)+AN9)/12</f>
        <v>766.167579245011</v>
      </c>
      <c r="AP9" s="47" t="n">
        <f aca="false">AO9*$AP$6</f>
        <v>2019.8963452823</v>
      </c>
      <c r="AQ9" s="47" t="n">
        <f aca="false">AO9+AP9</f>
        <v>2786.06392452731</v>
      </c>
      <c r="AR9" s="70"/>
      <c r="AS9" s="70"/>
      <c r="AT9" s="72"/>
      <c r="AU9" s="72"/>
      <c r="AV9" s="72"/>
      <c r="AW9" s="72"/>
    </row>
    <row r="10" s="2" customFormat="true" ht="15" hidden="false" customHeight="true" outlineLevel="0" collapsed="false">
      <c r="B10" s="64" t="s">
        <v>86</v>
      </c>
      <c r="C10" s="65" t="n">
        <f aca="false">VLOOKUP($B10,Unidades!$D$5:$N$31,6,FALSE())</f>
        <v>334.4</v>
      </c>
      <c r="D10" s="65" t="n">
        <f aca="false">VLOOKUP($B10,Unidades!$D$5:$N$31,7,FALSE())</f>
        <v>296</v>
      </c>
      <c r="E10" s="65" t="n">
        <f aca="false">VLOOKUP($B10,Unidades!$D$5:$N$31,8,FALSE())</f>
        <v>38.4</v>
      </c>
      <c r="F10" s="65" t="n">
        <f aca="false">VLOOKUP($B10,Unidades!$D$5:$N$31,9,FALSE())</f>
        <v>0</v>
      </c>
      <c r="G10" s="65" t="n">
        <f aca="false">D10+E10*$E$6+F10*$F$6</f>
        <v>309.44</v>
      </c>
      <c r="H10" s="66" t="n">
        <f aca="false">IF(G10&lt;750,1.5,IF(G10&lt;2000,2,IF(G10&lt;4000,3,12)))</f>
        <v>1.5</v>
      </c>
      <c r="I10" s="66" t="n">
        <f aca="false">$I$6*H10</f>
        <v>1.8</v>
      </c>
      <c r="J10" s="66" t="str">
        <f aca="false">VLOOKUP($B10,Unidades!$D$5:$N$31,10,FALSE())</f>
        <v>NÃO</v>
      </c>
      <c r="K10" s="66" t="str">
        <f aca="false">VLOOKUP($B10,Unidades!$D$5:$N$31,11,FALSE())</f>
        <v>NÃO</v>
      </c>
      <c r="L10" s="66" t="n">
        <f aca="false">$L$6*H10+(IF(J10="SIM",$J$6,0))</f>
        <v>1.65</v>
      </c>
      <c r="M10" s="66" t="n">
        <f aca="false">$M$6*H10+(IF(J10="SIM",$J$6,0))+(IF(K10="SIM",$K$6,0))</f>
        <v>1.65</v>
      </c>
      <c r="N10" s="66" t="n">
        <f aca="false">H10*12+I10*4+L10*2+M10</f>
        <v>30.15</v>
      </c>
      <c r="O10" s="67" t="n">
        <f aca="false">IF(K10="não", N10*(C$20+D$20),N10*(C$20+D$20)+(M10*+E$20))</f>
        <v>1604.3023638</v>
      </c>
      <c r="P10" s="68"/>
      <c r="Q10" s="23" t="str">
        <f aca="false">B10</f>
        <v>APS FLORES DA CUNHA</v>
      </c>
      <c r="R10" s="25" t="n">
        <f aca="false">H10*($C$20+$D$20)</f>
        <v>79.816038</v>
      </c>
      <c r="S10" s="25" t="n">
        <f aca="false">I10*($C$20+$D$20)</f>
        <v>95.7792456</v>
      </c>
      <c r="T10" s="25" t="n">
        <f aca="false">L10*($C$20+$D$20)</f>
        <v>87.7976418</v>
      </c>
      <c r="U10" s="25" t="n">
        <f aca="false">IF(K10="não",M10*($C$20+$D$20),M10*(C$20+D$20+E$20))</f>
        <v>87.7976418</v>
      </c>
      <c r="V10" s="25" t="n">
        <f aca="false">VLOOKUP(Q10,'Desl. Base Caxias do Sul'!$C$5:$S$14,13,FALSE())*($C$20+$D$20+$E$20*(VLOOKUP(Q10,'Desl. Base Caxias do Sul'!$C$5:$S$14,17,FALSE())/12))</f>
        <v>19.0671646333333</v>
      </c>
      <c r="W10" s="25" t="n">
        <f aca="false">VLOOKUP(Q10,'Desl. Base Caxias do Sul'!$C$5:$S$14,15,FALSE())*(2+(VLOOKUP(Q10,'Desl. Base Caxias do Sul'!$C$5:$S$14,17,FALSE())/12))</f>
        <v>0</v>
      </c>
      <c r="X10" s="25" t="n">
        <f aca="false">VLOOKUP(Q10,'Desl. Base Caxias do Sul'!$C$5:$Q$14,14,FALSE())</f>
        <v>0</v>
      </c>
      <c r="Y10" s="25" t="n">
        <f aca="false">VLOOKUP(Q10,'Desl. Base Caxias do Sul'!$C$5:$Q$14,13,FALSE())*'Desl. Base Caxias do Sul'!$E$19+'Desl. Base Caxias do Sul'!$E$20*N10/12</f>
        <v>35.2909166666667</v>
      </c>
      <c r="Z10" s="25" t="n">
        <f aca="false">(H10/$AC$5)*'Equipe Técnica'!$C$13</f>
        <v>254.043124484543</v>
      </c>
      <c r="AA10" s="25" t="n">
        <f aca="false">(I10/$AC$5)*'Equipe Técnica'!$C$13</f>
        <v>304.851749381451</v>
      </c>
      <c r="AB10" s="25" t="n">
        <f aca="false">(L10/$AC$5)*'Equipe Técnica'!$C$13</f>
        <v>279.447436932997</v>
      </c>
      <c r="AC10" s="25" t="n">
        <f aca="false">(M10/$AC$5)*'Equipe Técnica'!$C$13</f>
        <v>279.447436932997</v>
      </c>
      <c r="AD10" s="25" t="n">
        <f aca="false">R10+(($V10+$W10+$X10+$Y10)*12/19)+$Z10</f>
        <v>368.190582252964</v>
      </c>
      <c r="AE10" s="25" t="n">
        <f aca="false">S10+(($V10+$W10+$X10+$Y10)*12/19)+$AA10</f>
        <v>434.962414749872</v>
      </c>
      <c r="AF10" s="25" t="n">
        <f aca="false">T10+(($V10+$W10+$X10+$Y10)*12/19)+$AB10</f>
        <v>401.576498501418</v>
      </c>
      <c r="AG10" s="25" t="n">
        <f aca="false">U10+(($V10+$W10+$X10+$Y10)*12/19)+$AC10</f>
        <v>401.576498501418</v>
      </c>
      <c r="AI10" s="23" t="str">
        <f aca="false">B10</f>
        <v>APS FLORES DA CUNHA</v>
      </c>
      <c r="AJ10" s="69" t="n">
        <f aca="false">VLOOKUP(AI10,Unidades!D$5:H$31,5,)</f>
        <v>0.2223</v>
      </c>
      <c r="AK10" s="47" t="n">
        <f aca="false">AD10*(1+$AJ10)</f>
        <v>450.039348687798</v>
      </c>
      <c r="AL10" s="47" t="n">
        <f aca="false">AE10*(1+$AJ10)</f>
        <v>531.654559548769</v>
      </c>
      <c r="AM10" s="47" t="n">
        <f aca="false">AF10*(1+$AJ10)</f>
        <v>490.846954118283</v>
      </c>
      <c r="AN10" s="47" t="n">
        <f aca="false">AG10*(1+$AJ10)</f>
        <v>490.846954118283</v>
      </c>
      <c r="AO10" s="47" t="n">
        <f aca="false">((AK10*12)+(AL10*4)+(AM10*2)+AN10)/12</f>
        <v>749.969273733625</v>
      </c>
      <c r="AP10" s="47" t="n">
        <f aca="false">AO10*$AP$6</f>
        <v>1977.19172166137</v>
      </c>
      <c r="AQ10" s="47" t="n">
        <f aca="false">AO10+AP10</f>
        <v>2727.160995395</v>
      </c>
      <c r="AR10" s="70"/>
      <c r="AS10" s="73" t="s">
        <v>72</v>
      </c>
      <c r="AT10" s="47" t="n">
        <f aca="false">(SUM(AT8:AW8))/12</f>
        <v>10353.818912263</v>
      </c>
      <c r="AU10" s="47"/>
      <c r="AV10" s="72"/>
      <c r="AW10" s="72"/>
    </row>
    <row r="11" s="2" customFormat="true" ht="15" hidden="false" customHeight="true" outlineLevel="0" collapsed="false">
      <c r="B11" s="64" t="s">
        <v>87</v>
      </c>
      <c r="C11" s="65" t="n">
        <f aca="false">VLOOKUP($B11,Unidades!$D$5:$N$31,6,FALSE())</f>
        <v>334.4</v>
      </c>
      <c r="D11" s="65" t="n">
        <f aca="false">VLOOKUP($B11,Unidades!$D$5:$N$31,7,FALSE())</f>
        <v>296</v>
      </c>
      <c r="E11" s="65" t="n">
        <f aca="false">VLOOKUP($B11,Unidades!$D$5:$N$31,8,FALSE())</f>
        <v>38.4</v>
      </c>
      <c r="F11" s="65" t="n">
        <f aca="false">VLOOKUP($B11,Unidades!$D$5:$N$31,9,FALSE())</f>
        <v>0</v>
      </c>
      <c r="G11" s="65" t="n">
        <f aca="false">D11+E11*$E$6+F11*$F$6</f>
        <v>309.44</v>
      </c>
      <c r="H11" s="66" t="n">
        <f aca="false">IF(G11&lt;750,1.5,IF(G11&lt;2000,2,IF(G11&lt;4000,3,12)))</f>
        <v>1.5</v>
      </c>
      <c r="I11" s="66" t="n">
        <f aca="false">$I$6*H11</f>
        <v>1.8</v>
      </c>
      <c r="J11" s="66" t="str">
        <f aca="false">VLOOKUP($B11,Unidades!$D$5:$N$31,10,FALSE())</f>
        <v>NÃO</v>
      </c>
      <c r="K11" s="66" t="str">
        <f aca="false">VLOOKUP($B11,Unidades!$D$5:$N$31,11,FALSE())</f>
        <v>NÃO</v>
      </c>
      <c r="L11" s="66" t="n">
        <f aca="false">$L$6*H11+(IF(J11="SIM",$J$6,0))</f>
        <v>1.65</v>
      </c>
      <c r="M11" s="66" t="n">
        <f aca="false">$M$6*H11+(IF(J11="SIM",$J$6,0))+(IF(K11="SIM",$K$6,0))</f>
        <v>1.65</v>
      </c>
      <c r="N11" s="66" t="n">
        <f aca="false">H11*12+I11*4+L11*2+M11</f>
        <v>30.15</v>
      </c>
      <c r="O11" s="67" t="n">
        <f aca="false">IF(K11="não", N11*(C$20+D$20),N11*(C$20+D$20)+(M11*+E$20))</f>
        <v>1604.3023638</v>
      </c>
      <c r="P11" s="68"/>
      <c r="Q11" s="23" t="str">
        <f aca="false">B11</f>
        <v>APS CARLOS BARBOSA</v>
      </c>
      <c r="R11" s="25" t="n">
        <f aca="false">H11*($C$20+$D$20)</f>
        <v>79.816038</v>
      </c>
      <c r="S11" s="25" t="n">
        <f aca="false">I11*($C$20+$D$20)</f>
        <v>95.7792456</v>
      </c>
      <c r="T11" s="25" t="n">
        <f aca="false">L11*($C$20+$D$20)</f>
        <v>87.7976418</v>
      </c>
      <c r="U11" s="25" t="n">
        <f aca="false">IF(K11="não",M11*($C$20+$D$20),M11*(C$20+D$20+E$20))</f>
        <v>87.7976418</v>
      </c>
      <c r="V11" s="25" t="n">
        <f aca="false">VLOOKUP(Q11,'Desl. Base Caxias do Sul'!$C$5:$S$14,13,FALSE())*($C$20+$D$20+$E$20*(VLOOKUP(Q11,'Desl. Base Caxias do Sul'!$C$5:$S$14,17,FALSE())/12))</f>
        <v>49.2198901</v>
      </c>
      <c r="W11" s="25" t="n">
        <f aca="false">VLOOKUP(Q11,'Desl. Base Caxias do Sul'!$C$5:$S$14,15,FALSE())*(2+(VLOOKUP(Q11,'Desl. Base Caxias do Sul'!$C$5:$S$14,17,FALSE())/12))</f>
        <v>0</v>
      </c>
      <c r="X11" s="25" t="n">
        <f aca="false">VLOOKUP(Q11,'Desl. Base Caxias do Sul'!$C$5:$Q$14,14,FALSE())</f>
        <v>0</v>
      </c>
      <c r="Y11" s="25" t="n">
        <f aca="false">VLOOKUP(Q11,'Desl. Base Caxias do Sul'!$C$5:$Q$14,13,FALSE())*'Desl. Base Caxias do Sul'!$E$19+'Desl. Base Caxias do Sul'!$E$20*N11/12</f>
        <v>65.03525</v>
      </c>
      <c r="Z11" s="25" t="n">
        <f aca="false">(H11/$AC$5)*'Equipe Técnica'!$C$13</f>
        <v>254.043124484543</v>
      </c>
      <c r="AA11" s="25" t="n">
        <f aca="false">(I11/$AC$5)*'Equipe Técnica'!$C$13</f>
        <v>304.851749381451</v>
      </c>
      <c r="AB11" s="25" t="n">
        <f aca="false">(L11/$AC$5)*'Equipe Técnica'!$C$13</f>
        <v>279.447436932997</v>
      </c>
      <c r="AC11" s="25" t="n">
        <f aca="false">(M11/$AC$5)*'Equipe Técnica'!$C$13</f>
        <v>279.447436932997</v>
      </c>
      <c r="AD11" s="25" t="n">
        <f aca="false">R11+(($V11+$W11+$X11+$Y11)*12/19)+$Z11</f>
        <v>406.020303600332</v>
      </c>
      <c r="AE11" s="25" t="n">
        <f aca="false">S11+(($V11+$W11+$X11+$Y11)*12/19)+$AA11</f>
        <v>472.792136097241</v>
      </c>
      <c r="AF11" s="25" t="n">
        <f aca="false">T11+(($V11+$W11+$X11+$Y11)*12/19)+$AB11</f>
        <v>439.406219848786</v>
      </c>
      <c r="AG11" s="25" t="n">
        <f aca="false">U11+(($V11+$W11+$X11+$Y11)*12/19)+$AC11</f>
        <v>439.406219848786</v>
      </c>
      <c r="AI11" s="23" t="str">
        <f aca="false">B11</f>
        <v>APS CARLOS BARBOSA</v>
      </c>
      <c r="AJ11" s="69" t="n">
        <f aca="false">VLOOKUP(AI11,Unidades!D$5:H$31,5,)</f>
        <v>0.2624</v>
      </c>
      <c r="AK11" s="47" t="n">
        <f aca="false">AD11*(1+$AJ11)</f>
        <v>512.560031265059</v>
      </c>
      <c r="AL11" s="47" t="n">
        <f aca="false">AE11*(1+$AJ11)</f>
        <v>596.852792609157</v>
      </c>
      <c r="AM11" s="47" t="n">
        <f aca="false">AF11*(1+$AJ11)</f>
        <v>554.706411937108</v>
      </c>
      <c r="AN11" s="47" t="n">
        <f aca="false">AG11*(1+$AJ11)</f>
        <v>554.706411937108</v>
      </c>
      <c r="AO11" s="47" t="n">
        <f aca="false">((AK11*12)+(AL11*4)+(AM11*2)+AN11)/12</f>
        <v>850.187565119055</v>
      </c>
      <c r="AP11" s="47" t="n">
        <f aca="false">AO11*$AP$6</f>
        <v>2241.40358076842</v>
      </c>
      <c r="AQ11" s="47" t="n">
        <f aca="false">AO11+AP11</f>
        <v>3091.59114588747</v>
      </c>
      <c r="AR11" s="70"/>
      <c r="AS11" s="73" t="s">
        <v>88</v>
      </c>
      <c r="AT11" s="47" t="n">
        <f aca="false">AT10*12</f>
        <v>124245.826947156</v>
      </c>
      <c r="AU11" s="47"/>
      <c r="AV11" s="72"/>
      <c r="AW11" s="72"/>
    </row>
    <row r="12" s="2" customFormat="true" ht="15" hidden="false" customHeight="true" outlineLevel="0" collapsed="false">
      <c r="B12" s="64" t="s">
        <v>89</v>
      </c>
      <c r="C12" s="65" t="n">
        <f aca="false">VLOOKUP($B12,Unidades!$D$5:$N$31,6,FALSE())</f>
        <v>840.61</v>
      </c>
      <c r="D12" s="65" t="n">
        <f aca="false">VLOOKUP($B12,Unidades!$D$5:$N$31,7,FALSE())</f>
        <v>399.63</v>
      </c>
      <c r="E12" s="65" t="n">
        <f aca="false">VLOOKUP($B12,Unidades!$D$5:$N$31,8,FALSE())</f>
        <v>166.29</v>
      </c>
      <c r="F12" s="65" t="n">
        <f aca="false">VLOOKUP($B12,Unidades!$D$5:$N$31,9,FALSE())</f>
        <v>274.69</v>
      </c>
      <c r="G12" s="65" t="n">
        <f aca="false">D12+E12*$E$6+F12*$F$6</f>
        <v>485.3005</v>
      </c>
      <c r="H12" s="66" t="n">
        <f aca="false">IF(G12&lt;750,1.5,IF(G12&lt;2000,2,IF(G12&lt;4000,3,12)))</f>
        <v>1.5</v>
      </c>
      <c r="I12" s="66" t="n">
        <f aca="false">$I$6*H12</f>
        <v>1.8</v>
      </c>
      <c r="J12" s="66" t="str">
        <f aca="false">VLOOKUP($B12,Unidades!$D$5:$N$31,10,FALSE())</f>
        <v>NÃO</v>
      </c>
      <c r="K12" s="66" t="str">
        <f aca="false">VLOOKUP($B12,Unidades!$D$5:$N$31,11,FALSE())</f>
        <v>NÃO</v>
      </c>
      <c r="L12" s="66" t="n">
        <f aca="false">$L$6*H12+(IF(J12="SIM",$J$6,0))</f>
        <v>1.65</v>
      </c>
      <c r="M12" s="66" t="n">
        <f aca="false">$M$6*H12+(IF(J12="SIM",$J$6,0))+(IF(K12="SIM",$K$6,0))</f>
        <v>1.65</v>
      </c>
      <c r="N12" s="66" t="n">
        <f aca="false">H12*12+I12*4+L12*2+M12</f>
        <v>30.15</v>
      </c>
      <c r="O12" s="67" t="n">
        <f aca="false">IF(K12="não", N12*(C$20+D$20),N12*(C$20+D$20)+(M12*+E$20))</f>
        <v>1604.3023638</v>
      </c>
      <c r="P12" s="68"/>
      <c r="Q12" s="23" t="str">
        <f aca="false">B12</f>
        <v>APS GARIBALDI</v>
      </c>
      <c r="R12" s="25" t="n">
        <f aca="false">H12*($C$20+$D$20)</f>
        <v>79.816038</v>
      </c>
      <c r="S12" s="25" t="n">
        <f aca="false">I12*($C$20+$D$20)</f>
        <v>95.7792456</v>
      </c>
      <c r="T12" s="25" t="n">
        <f aca="false">L12*($C$20+$D$20)</f>
        <v>87.7976418</v>
      </c>
      <c r="U12" s="25" t="n">
        <f aca="false">IF(K12="não",M12*($C$20+$D$20),M12*(C$20+D$20+E$20))</f>
        <v>87.7976418</v>
      </c>
      <c r="V12" s="25" t="n">
        <f aca="false">VLOOKUP(Q12,'Desl. Base Caxias do Sul'!$C$5:$S$14,13,FALSE())*($C$20+$D$20+$E$20*(VLOOKUP(Q12,'Desl. Base Caxias do Sul'!$C$5:$S$14,17,FALSE())/12))</f>
        <v>49.2198901</v>
      </c>
      <c r="W12" s="25" t="n">
        <f aca="false">VLOOKUP(Q12,'Desl. Base Caxias do Sul'!$C$5:$S$14,15,FALSE())*(2+(VLOOKUP(Q12,'Desl. Base Caxias do Sul'!$C$5:$S$14,17,FALSE())/12))</f>
        <v>0</v>
      </c>
      <c r="X12" s="25" t="n">
        <f aca="false">VLOOKUP(Q12,'Desl. Base Caxias do Sul'!$C$5:$Q$14,14,FALSE())</f>
        <v>0</v>
      </c>
      <c r="Y12" s="25" t="n">
        <f aca="false">VLOOKUP(Q12,'Desl. Base Caxias do Sul'!$C$5:$Q$14,13,FALSE())*'Desl. Base Caxias do Sul'!$E$19+'Desl. Base Caxias do Sul'!$E$20*N12/12</f>
        <v>65.03525</v>
      </c>
      <c r="Z12" s="25" t="n">
        <f aca="false">(H12/$AC$5)*'Equipe Técnica'!$C$13</f>
        <v>254.043124484543</v>
      </c>
      <c r="AA12" s="25" t="n">
        <f aca="false">(I12/$AC$5)*'Equipe Técnica'!$C$13</f>
        <v>304.851749381451</v>
      </c>
      <c r="AB12" s="25" t="n">
        <f aca="false">(L12/$AC$5)*'Equipe Técnica'!$C$13</f>
        <v>279.447436932997</v>
      </c>
      <c r="AC12" s="25" t="n">
        <f aca="false">(M12/$AC$5)*'Equipe Técnica'!$C$13</f>
        <v>279.447436932997</v>
      </c>
      <c r="AD12" s="25" t="n">
        <f aca="false">R12+(($V12+$W12+$X12+$Y12)*12/19)+$Z12</f>
        <v>406.020303600332</v>
      </c>
      <c r="AE12" s="25" t="n">
        <f aca="false">S12+(($V12+$W12+$X12+$Y12)*12/19)+$AA12</f>
        <v>472.792136097241</v>
      </c>
      <c r="AF12" s="25" t="n">
        <f aca="false">T12+(($V12+$W12+$X12+$Y12)*12/19)+$AB12</f>
        <v>439.406219848786</v>
      </c>
      <c r="AG12" s="25" t="n">
        <f aca="false">U12+(($V12+$W12+$X12+$Y12)*12/19)+$AC12</f>
        <v>439.406219848786</v>
      </c>
      <c r="AI12" s="23" t="str">
        <f aca="false">B12</f>
        <v>APS GARIBALDI</v>
      </c>
      <c r="AJ12" s="69" t="n">
        <f aca="false">VLOOKUP(AI12,Unidades!D$5:H$31,5,)</f>
        <v>0.2354</v>
      </c>
      <c r="AK12" s="47" t="n">
        <f aca="false">AD12*(1+$AJ12)</f>
        <v>501.59748306785</v>
      </c>
      <c r="AL12" s="47" t="n">
        <f aca="false">AE12*(1+$AJ12)</f>
        <v>584.087404934531</v>
      </c>
      <c r="AM12" s="47" t="n">
        <f aca="false">AF12*(1+$AJ12)</f>
        <v>542.842444001191</v>
      </c>
      <c r="AN12" s="47" t="n">
        <f aca="false">AG12*(1+$AJ12)</f>
        <v>542.842444001191</v>
      </c>
      <c r="AO12" s="47" t="n">
        <f aca="false">((AK12*12)+(AL12*4)+(AM12*2)+AN12)/12</f>
        <v>832.003895712992</v>
      </c>
      <c r="AP12" s="47" t="n">
        <f aca="false">AO12*$AP$6</f>
        <v>2193.46481597062</v>
      </c>
      <c r="AQ12" s="47" t="n">
        <f aca="false">AO12+AP12</f>
        <v>3025.46871168361</v>
      </c>
      <c r="AR12" s="70"/>
      <c r="AS12" s="73" t="s">
        <v>73</v>
      </c>
      <c r="AT12" s="47" t="n">
        <f aca="false">AP17</f>
        <v>27296.4316777842</v>
      </c>
      <c r="AU12" s="47"/>
      <c r="AV12" s="70"/>
      <c r="AW12" s="70"/>
    </row>
    <row r="13" s="55" customFormat="true" ht="15" hidden="false" customHeight="true" outlineLevel="0" collapsed="false">
      <c r="A13" s="2"/>
      <c r="B13" s="64" t="s">
        <v>90</v>
      </c>
      <c r="C13" s="65" t="n">
        <f aca="false">VLOOKUP($B13,Unidades!$D$5:$N$31,6,FALSE())</f>
        <v>1960.04</v>
      </c>
      <c r="D13" s="65" t="n">
        <f aca="false">VLOOKUP($B13,Unidades!$D$5:$N$31,7,FALSE())</f>
        <v>980.02</v>
      </c>
      <c r="E13" s="65" t="n">
        <f aca="false">VLOOKUP($B13,Unidades!$D$5:$N$31,8,FALSE())</f>
        <v>980.02</v>
      </c>
      <c r="F13" s="65" t="n">
        <f aca="false">VLOOKUP($B13,Unidades!$D$5:$N$31,9,FALSE())</f>
        <v>0</v>
      </c>
      <c r="G13" s="65" t="n">
        <f aca="false">D13+E13*$E$6+F13*$F$6</f>
        <v>1323.027</v>
      </c>
      <c r="H13" s="66" t="n">
        <f aca="false">IF(G13&lt;750,1.5,IF(G13&lt;2000,2,IF(G13&lt;4000,3,12)))</f>
        <v>2</v>
      </c>
      <c r="I13" s="66" t="n">
        <f aca="false">$I$6*H13</f>
        <v>2.4</v>
      </c>
      <c r="J13" s="66" t="str">
        <f aca="false">VLOOKUP($B13,Unidades!$D$5:$N$31,10,FALSE())</f>
        <v>NÃO</v>
      </c>
      <c r="K13" s="66" t="str">
        <f aca="false">VLOOKUP($B13,Unidades!$D$5:$N$31,11,FALSE())</f>
        <v>NÃO</v>
      </c>
      <c r="L13" s="66" t="n">
        <f aca="false">$L$6*H13+(IF(J13="SIM",$J$6,0))</f>
        <v>2.2</v>
      </c>
      <c r="M13" s="66" t="n">
        <f aca="false">$M$6*H13+(IF(J13="SIM",$J$6,0))+(IF(K13="SIM",$K$6,0))</f>
        <v>2.2</v>
      </c>
      <c r="N13" s="66" t="n">
        <f aca="false">H13*12+I13*4+L13*2+M13</f>
        <v>40.2</v>
      </c>
      <c r="O13" s="67" t="n">
        <f aca="false">IF(K13="não", N13*(C$20+D$20),N13*(C$20+D$20)+(M13*+E$20))</f>
        <v>2139.0698184</v>
      </c>
      <c r="P13" s="68"/>
      <c r="Q13" s="23" t="str">
        <f aca="false">B13</f>
        <v>APS BENTO GONÇALVES</v>
      </c>
      <c r="R13" s="25" t="n">
        <f aca="false">H13*($C$20+$D$20)</f>
        <v>106.421384</v>
      </c>
      <c r="S13" s="25" t="n">
        <f aca="false">I13*($C$20+$D$20)</f>
        <v>127.7056608</v>
      </c>
      <c r="T13" s="25" t="n">
        <f aca="false">L13*($C$20+$D$20)</f>
        <v>117.0635224</v>
      </c>
      <c r="U13" s="25" t="n">
        <f aca="false">IF(K13="não",M13*($C$20+$D$20),M13*(C$20+D$20+E$20))</f>
        <v>117.0635224</v>
      </c>
      <c r="V13" s="25" t="n">
        <f aca="false">VLOOKUP(Q13,'Desl. Base Caxias do Sul'!$C$5:$S$14,13,FALSE())*($C$20+$D$20+$E$20*(VLOOKUP(Q13,'Desl. Base Caxias do Sul'!$C$5:$S$14,17,FALSE())/12))</f>
        <v>45.6725106333333</v>
      </c>
      <c r="W13" s="25" t="n">
        <f aca="false">VLOOKUP(Q13,'Desl. Base Caxias do Sul'!$C$5:$S$14,15,FALSE())*(2+(VLOOKUP(Q13,'Desl. Base Caxias do Sul'!$C$5:$S$14,17,FALSE())/12))</f>
        <v>0</v>
      </c>
      <c r="X13" s="25" t="n">
        <f aca="false">VLOOKUP(Q13,'Desl. Base Caxias do Sul'!$C$5:$Q$14,14,FALSE())</f>
        <v>0</v>
      </c>
      <c r="Y13" s="25" t="n">
        <f aca="false">VLOOKUP(Q13,'Desl. Base Caxias do Sul'!$C$5:$Q$14,13,FALSE())*'Desl. Base Caxias do Sul'!$E$19+'Desl. Base Caxias do Sul'!$E$20*N13/12</f>
        <v>67.0299166666667</v>
      </c>
      <c r="Z13" s="25" t="n">
        <f aca="false">(H13/$AC$5)*'Equipe Técnica'!$C$13</f>
        <v>338.72416597939</v>
      </c>
      <c r="AA13" s="25" t="n">
        <f aca="false">(I13/$AC$5)*'Equipe Técnica'!$C$13</f>
        <v>406.468999175268</v>
      </c>
      <c r="AB13" s="25" t="n">
        <f aca="false">(L13/$AC$5)*'Equipe Técnica'!$C$13</f>
        <v>372.596582577329</v>
      </c>
      <c r="AC13" s="25" t="n">
        <f aca="false">(M13/$AC$5)*'Equipe Técnica'!$C$13</f>
        <v>372.596582577329</v>
      </c>
      <c r="AD13" s="25" t="n">
        <f aca="false">R13+(($V13+$W13+$X13+$Y13)*12/19)+$Z13</f>
        <v>516.32603037939</v>
      </c>
      <c r="AE13" s="25" t="n">
        <f aca="false">S13+(($V13+$W13+$X13+$Y13)*12/19)+$AA13</f>
        <v>605.355140375268</v>
      </c>
      <c r="AF13" s="25" t="n">
        <f aca="false">T13+(($V13+$W13+$X13+$Y13)*12/19)+$AB13</f>
        <v>560.840585377329</v>
      </c>
      <c r="AG13" s="25" t="n">
        <f aca="false">U13+(($V13+$W13+$X13+$Y13)*12/19)+$AC13</f>
        <v>560.840585377329</v>
      </c>
      <c r="AH13" s="2"/>
      <c r="AI13" s="23" t="str">
        <f aca="false">B13</f>
        <v>APS BENTO GONÇALVES</v>
      </c>
      <c r="AJ13" s="69" t="n">
        <f aca="false">VLOOKUP(AI13,Unidades!D$5:H$31,5,)</f>
        <v>0.2354</v>
      </c>
      <c r="AK13" s="47" t="n">
        <f aca="false">AD13*(1+$AJ13)</f>
        <v>637.869177930699</v>
      </c>
      <c r="AL13" s="47" t="n">
        <f aca="false">AE13*(1+$AJ13)</f>
        <v>747.855740419607</v>
      </c>
      <c r="AM13" s="47" t="n">
        <f aca="false">AF13*(1+$AJ13)</f>
        <v>692.862459175153</v>
      </c>
      <c r="AN13" s="47" t="n">
        <f aca="false">AG13*(1+$AJ13)</f>
        <v>692.862459175153</v>
      </c>
      <c r="AO13" s="47" t="n">
        <f aca="false">((AK13*12)+(AL13*4)+(AM13*2)+AN13)/12</f>
        <v>1060.37003953102</v>
      </c>
      <c r="AP13" s="47" t="n">
        <f aca="false">AO13*$AP$6</f>
        <v>2795.52101330906</v>
      </c>
      <c r="AQ13" s="47" t="n">
        <f aca="false">AO13+AP13</f>
        <v>3855.89105284008</v>
      </c>
      <c r="AR13" s="70"/>
      <c r="AS13" s="73" t="s">
        <v>91</v>
      </c>
      <c r="AT13" s="47" t="n">
        <f aca="false">AT12*12</f>
        <v>327557.180133411</v>
      </c>
      <c r="AU13" s="47"/>
      <c r="AV13" s="72"/>
      <c r="AW13" s="7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64" t="s">
        <v>92</v>
      </c>
      <c r="C14" s="65" t="n">
        <f aca="false">VLOOKUP($B14,Unidades!$D$5:$N$31,6,FALSE())</f>
        <v>617.87</v>
      </c>
      <c r="D14" s="65" t="n">
        <f aca="false">VLOOKUP($B14,Unidades!$D$5:$N$31,7,FALSE())</f>
        <v>420.59</v>
      </c>
      <c r="E14" s="65" t="n">
        <f aca="false">VLOOKUP($B14,Unidades!$D$5:$N$31,8,FALSE())</f>
        <v>197.28</v>
      </c>
      <c r="F14" s="65" t="n">
        <f aca="false">VLOOKUP($B14,Unidades!$D$5:$N$31,9,FALSE())</f>
        <v>0</v>
      </c>
      <c r="G14" s="65" t="n">
        <f aca="false">D14+E14*$E$6+F14*$F$6</f>
        <v>489.638</v>
      </c>
      <c r="H14" s="66" t="n">
        <f aca="false">IF(G14&lt;750,1.5,IF(G14&lt;2000,2,IF(G14&lt;4000,3,12)))</f>
        <v>1.5</v>
      </c>
      <c r="I14" s="66" t="n">
        <f aca="false">$I$6*H14</f>
        <v>1.8</v>
      </c>
      <c r="J14" s="66" t="str">
        <f aca="false">VLOOKUP($B14,Unidades!$D$5:$N$31,10,FALSE())</f>
        <v>NÃO</v>
      </c>
      <c r="K14" s="66" t="str">
        <f aca="false">VLOOKUP($B14,Unidades!$D$5:$N$31,11,FALSE())</f>
        <v>NÃO</v>
      </c>
      <c r="L14" s="66" t="n">
        <f aca="false">$L$6*H14+(IF(J14="SIM",$J$6,0))</f>
        <v>1.65</v>
      </c>
      <c r="M14" s="66" t="n">
        <f aca="false">$M$6*H14+(IF(J14="SIM",$J$6,0))+(IF(K14="SIM",$K$6,0))</f>
        <v>1.65</v>
      </c>
      <c r="N14" s="66" t="n">
        <f aca="false">H14*12+I14*4+L14*2+M14</f>
        <v>30.15</v>
      </c>
      <c r="O14" s="67" t="n">
        <f aca="false">IF(K14="não", N14*(C$20+D$20),N14*(C$20+D$20)+(M14*+E$20))</f>
        <v>1604.3023638</v>
      </c>
      <c r="P14" s="68"/>
      <c r="Q14" s="23" t="str">
        <f aca="false">B14</f>
        <v>APS FARROUPILHA</v>
      </c>
      <c r="R14" s="25" t="n">
        <f aca="false">H14*($C$20+$D$20)</f>
        <v>79.816038</v>
      </c>
      <c r="S14" s="25" t="n">
        <f aca="false">I14*($C$20+$D$20)</f>
        <v>95.7792456</v>
      </c>
      <c r="T14" s="25" t="n">
        <f aca="false">L14*($C$20+$D$20)</f>
        <v>87.7976418</v>
      </c>
      <c r="U14" s="25" t="n">
        <f aca="false">IF(K14="não",M14*($C$20+$D$20),M14*(C$20+D$20+E$20))</f>
        <v>87.7976418</v>
      </c>
      <c r="V14" s="25" t="n">
        <f aca="false">VLOOKUP(Q14,'Desl. Base Caxias do Sul'!$C$5:$S$14,13,FALSE())*($C$20+$D$20+$E$20*(VLOOKUP(Q14,'Desl. Base Caxias do Sul'!$C$5:$S$14,17,FALSE())/12))</f>
        <v>45.6725106333333</v>
      </c>
      <c r="W14" s="25" t="n">
        <f aca="false">VLOOKUP(Q14,'Desl. Base Caxias do Sul'!$C$5:$S$14,15,FALSE())*(2+(VLOOKUP(Q14,'Desl. Base Caxias do Sul'!$C$5:$S$14,17,FALSE())/12))</f>
        <v>0</v>
      </c>
      <c r="X14" s="25" t="n">
        <f aca="false">VLOOKUP(Q14,'Desl. Base Caxias do Sul'!$C$5:$Q$14,14,FALSE())</f>
        <v>0</v>
      </c>
      <c r="Y14" s="25" t="n">
        <f aca="false">VLOOKUP(Q14,'Desl. Base Caxias do Sul'!$C$5:$Q$14,13,FALSE())*'Desl. Base Caxias do Sul'!$E$19+'Desl. Base Caxias do Sul'!$E$20*N14/12</f>
        <v>61.5359166666667</v>
      </c>
      <c r="Z14" s="25" t="n">
        <f aca="false">(H14/$AC$5)*'Equipe Técnica'!$C$13</f>
        <v>254.043124484543</v>
      </c>
      <c r="AA14" s="25" t="n">
        <f aca="false">(I14/$AC$5)*'Equipe Técnica'!$C$13</f>
        <v>304.851749381451</v>
      </c>
      <c r="AB14" s="25" t="n">
        <f aca="false">(L14/$AC$5)*'Equipe Técnica'!$C$13</f>
        <v>279.447436932997</v>
      </c>
      <c r="AC14" s="25" t="n">
        <f aca="false">(M14/$AC$5)*'Equipe Técnica'!$C$13</f>
        <v>279.447436932997</v>
      </c>
      <c r="AD14" s="25" t="n">
        <f aca="false">R14+(($V14+$W14+$X14+$Y14)*12/19)+$Z14</f>
        <v>401.569748147701</v>
      </c>
      <c r="AE14" s="25" t="n">
        <f aca="false">S14+(($V14+$W14+$X14+$Y14)*12/19)+$AA14</f>
        <v>468.341580644609</v>
      </c>
      <c r="AF14" s="25" t="n">
        <f aca="false">T14+(($V14+$W14+$X14+$Y14)*12/19)+$AB14</f>
        <v>434.955664396155</v>
      </c>
      <c r="AG14" s="25" t="n">
        <f aca="false">U14+(($V14+$W14+$X14+$Y14)*12/19)+$AC14</f>
        <v>434.955664396155</v>
      </c>
      <c r="AH14" s="2"/>
      <c r="AI14" s="23" t="str">
        <f aca="false">B14</f>
        <v>APS FARROUPILHA</v>
      </c>
      <c r="AJ14" s="69" t="n">
        <f aca="false">VLOOKUP(AI14,Unidades!D$5:H$31,5,)</f>
        <v>0.2223</v>
      </c>
      <c r="AK14" s="47" t="n">
        <f aca="false">AD14*(1+$AJ14)</f>
        <v>490.838703160934</v>
      </c>
      <c r="AL14" s="47" t="n">
        <f aca="false">AE14*(1+$AJ14)</f>
        <v>572.453914021906</v>
      </c>
      <c r="AM14" s="47" t="n">
        <f aca="false">AF14*(1+$AJ14)</f>
        <v>531.64630859142</v>
      </c>
      <c r="AN14" s="47" t="n">
        <f aca="false">AG14*(1+$AJ14)</f>
        <v>531.64630859142</v>
      </c>
      <c r="AO14" s="47" t="n">
        <f aca="false">((AK14*12)+(AL14*4)+(AM14*2)+AN14)/12</f>
        <v>814.568251649425</v>
      </c>
      <c r="AP14" s="47" t="n">
        <f aca="false">AO14*$AP$6</f>
        <v>2147.49811798485</v>
      </c>
      <c r="AQ14" s="47" t="n">
        <f aca="false">AO14+AP14</f>
        <v>2962.06636963427</v>
      </c>
      <c r="AR14" s="70"/>
      <c r="AS14" s="73" t="s">
        <v>74</v>
      </c>
      <c r="AT14" s="47" t="n">
        <f aca="false">AT10+AT12</f>
        <v>37650.2505900472</v>
      </c>
      <c r="AU14" s="47"/>
      <c r="AV14" s="72"/>
      <c r="AW14" s="7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64" t="s">
        <v>93</v>
      </c>
      <c r="C15" s="65" t="n">
        <f aca="false">VLOOKUP($B15,Unidades!$D$5:$N$31,6,FALSE())</f>
        <v>1354.16</v>
      </c>
      <c r="D15" s="65" t="n">
        <f aca="false">VLOOKUP($B15,Unidades!$D$5:$N$31,7,FALSE())</f>
        <v>771.34</v>
      </c>
      <c r="E15" s="65" t="n">
        <f aca="false">VLOOKUP($B15,Unidades!$D$5:$N$31,8,FALSE())</f>
        <v>241.24</v>
      </c>
      <c r="F15" s="65" t="n">
        <f aca="false">VLOOKUP($B15,Unidades!$D$5:$N$31,9,FALSE())</f>
        <v>341.58</v>
      </c>
      <c r="G15" s="65" t="n">
        <f aca="false">D15+E15*$E$6+F15*$F$6</f>
        <v>889.932</v>
      </c>
      <c r="H15" s="66" t="n">
        <f aca="false">IF(G15&lt;750,1.5,IF(G15&lt;2000,2,IF(G15&lt;4000,3,12)))</f>
        <v>2</v>
      </c>
      <c r="I15" s="66" t="n">
        <f aca="false">$I$6*H15</f>
        <v>2.4</v>
      </c>
      <c r="J15" s="66" t="str">
        <f aca="false">VLOOKUP($B15,Unidades!$D$5:$N$31,10,FALSE())</f>
        <v>NÃO</v>
      </c>
      <c r="K15" s="66" t="str">
        <f aca="false">VLOOKUP($B15,Unidades!$D$5:$N$31,11,FALSE())</f>
        <v>SIM</v>
      </c>
      <c r="L15" s="66" t="n">
        <f aca="false">$L$6*H15+(IF(J15="SIM",$J$6,0))</f>
        <v>2.2</v>
      </c>
      <c r="M15" s="66" t="n">
        <f aca="false">$M$6*H15+(IF(J15="SIM",$J$6,0))+(IF(K15="SIM",$K$6,0))</f>
        <v>6.2</v>
      </c>
      <c r="N15" s="66" t="n">
        <f aca="false">H15*12+I15*4+L15*2+M15</f>
        <v>44.2</v>
      </c>
      <c r="O15" s="67" t="n">
        <f aca="false">IF(K15="não", N15*(C$20+D$20),N15*(C$20+D$20)+(M15*+E$20))</f>
        <v>2576.1665864</v>
      </c>
      <c r="P15" s="68"/>
      <c r="Q15" s="23" t="str">
        <f aca="false">B15</f>
        <v>APS CANELA</v>
      </c>
      <c r="R15" s="25" t="n">
        <f aca="false">H15*($C$20+$D$20)</f>
        <v>106.421384</v>
      </c>
      <c r="S15" s="25" t="n">
        <f aca="false">I15*($C$20+$D$20)</f>
        <v>127.7056608</v>
      </c>
      <c r="T15" s="25" t="n">
        <f aca="false">L15*($C$20+$D$20)</f>
        <v>117.0635224</v>
      </c>
      <c r="U15" s="25" t="n">
        <f aca="false">IF(K15="não",M15*($C$20+$D$20),M15*(C$20+D$20+E$20))</f>
        <v>554.1602904</v>
      </c>
      <c r="V15" s="25" t="n">
        <f aca="false">VLOOKUP(Q15,'Desl. Base Caxias do Sul'!$C$5:$S$14,13,FALSE())*($C$20+$D$20+$E$20*(VLOOKUP(Q15,'Desl. Base Caxias do Sul'!$C$5:$S$14,17,FALSE())/12))</f>
        <v>168.674576</v>
      </c>
      <c r="W15" s="25" t="n">
        <f aca="false">VLOOKUP(Q15,'Desl. Base Caxias do Sul'!$C$5:$S$14,15,FALSE())*(2+(VLOOKUP(Q15,'Desl. Base Caxias do Sul'!$C$5:$S$14,17,FALSE())/12))</f>
        <v>0</v>
      </c>
      <c r="X15" s="25" t="n">
        <f aca="false">VLOOKUP(Q15,'Desl. Base Caxias do Sul'!$C$5:$Q$14,14,FALSE())</f>
        <v>14.2</v>
      </c>
      <c r="Y15" s="25" t="n">
        <f aca="false">VLOOKUP(Q15,'Desl. Base Caxias do Sul'!$C$5:$Q$14,13,FALSE())*'Desl. Base Caxias do Sul'!$E$19+'Desl. Base Caxias do Sul'!$E$20*N15/12</f>
        <v>181.632666666667</v>
      </c>
      <c r="Z15" s="25" t="n">
        <f aca="false">(H15/$AC$5)*'Equipe Técnica'!$C$13</f>
        <v>338.72416597939</v>
      </c>
      <c r="AA15" s="25" t="n">
        <f aca="false">(I15/$AC$5)*'Equipe Técnica'!$C$13</f>
        <v>406.468999175268</v>
      </c>
      <c r="AB15" s="25" t="n">
        <f aca="false">(L15/$AC$5)*'Equipe Técnica'!$C$13</f>
        <v>372.596582577329</v>
      </c>
      <c r="AC15" s="25" t="n">
        <f aca="false">(M15/$AC$5)*'Equipe Técnica'!$C$13</f>
        <v>1050.04491453611</v>
      </c>
      <c r="AD15" s="25" t="n">
        <f aca="false">R15+(($V15+$W15+$X15+$Y15)*12/19)+$Z15</f>
        <v>675.360650610969</v>
      </c>
      <c r="AE15" s="25" t="n">
        <f aca="false">S15+(($V15+$W15+$X15+$Y15)*12/19)+$AA15</f>
        <v>764.389760606847</v>
      </c>
      <c r="AF15" s="25" t="n">
        <f aca="false">T15+(($V15+$W15+$X15+$Y15)*12/19)+$AB15</f>
        <v>719.875205608908</v>
      </c>
      <c r="AG15" s="25" t="n">
        <f aca="false">U15+(($V15+$W15+$X15+$Y15)*12/19)+$AC15</f>
        <v>1834.42030556769</v>
      </c>
      <c r="AH15" s="2"/>
      <c r="AI15" s="23" t="str">
        <f aca="false">B15</f>
        <v>APS CANELA</v>
      </c>
      <c r="AJ15" s="69" t="n">
        <f aca="false">VLOOKUP(AI15,Unidades!D$5:H$31,5,)</f>
        <v>0.2354</v>
      </c>
      <c r="AK15" s="47" t="n">
        <f aca="false">AD15*(1+$AJ15)</f>
        <v>834.340547764792</v>
      </c>
      <c r="AL15" s="47" t="n">
        <f aca="false">AE15*(1+$AJ15)</f>
        <v>944.327110253699</v>
      </c>
      <c r="AM15" s="47" t="n">
        <f aca="false">AF15*(1+$AJ15)</f>
        <v>889.333829009245</v>
      </c>
      <c r="AN15" s="47" t="n">
        <f aca="false">AG15*(1+$AJ15)</f>
        <v>2266.24284549832</v>
      </c>
      <c r="AO15" s="47" t="n">
        <f aca="false">((AK15*12)+(AL15*4)+(AM15*2)+AN15)/12</f>
        <v>1486.19212647576</v>
      </c>
      <c r="AP15" s="47" t="n">
        <f aca="false">AO15*$AP$6</f>
        <v>3918.14287889064</v>
      </c>
      <c r="AQ15" s="47" t="n">
        <f aca="false">AO15+AP15</f>
        <v>5404.3350053664</v>
      </c>
      <c r="AR15" s="70"/>
      <c r="AS15" s="73" t="s">
        <v>94</v>
      </c>
      <c r="AT15" s="47" t="n">
        <f aca="false">AT11+AT13</f>
        <v>451803.007080567</v>
      </c>
      <c r="AU15" s="47"/>
      <c r="AV15" s="70"/>
      <c r="AW15" s="70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64" t="s">
        <v>95</v>
      </c>
      <c r="C16" s="65" t="n">
        <f aca="false">VLOOKUP($B16,Unidades!$D$5:$N$31,6,FALSE())</f>
        <v>436.8</v>
      </c>
      <c r="D16" s="65" t="n">
        <f aca="false">VLOOKUP($B16,Unidades!$D$5:$N$31,7,FALSE())</f>
        <v>342.01</v>
      </c>
      <c r="E16" s="65" t="n">
        <f aca="false">VLOOKUP($B16,Unidades!$D$5:$N$31,8,FALSE())</f>
        <v>94.79</v>
      </c>
      <c r="F16" s="65" t="n">
        <f aca="false">VLOOKUP($B16,Unidades!$D$5:$N$31,9,FALSE())</f>
        <v>0</v>
      </c>
      <c r="G16" s="65" t="n">
        <f aca="false">D16+E16*$E$6+F16*$F$6</f>
        <v>375.1865</v>
      </c>
      <c r="H16" s="66" t="n">
        <f aca="false">IF(G16&lt;750,1.5,IF(G16&lt;2000,2,IF(G16&lt;4000,3,12)))</f>
        <v>1.5</v>
      </c>
      <c r="I16" s="66" t="n">
        <f aca="false">$I$6*H16</f>
        <v>1.8</v>
      </c>
      <c r="J16" s="66" t="str">
        <f aca="false">VLOOKUP($B16,Unidades!$D$5:$N$31,10,FALSE())</f>
        <v>NÃO</v>
      </c>
      <c r="K16" s="66" t="str">
        <f aca="false">VLOOKUP($B16,Unidades!$D$5:$N$31,11,FALSE())</f>
        <v>NÃO</v>
      </c>
      <c r="L16" s="66" t="n">
        <f aca="false">$L$6*H16+(IF(J16="SIM",$J$6,0))</f>
        <v>1.65</v>
      </c>
      <c r="M16" s="66" t="n">
        <f aca="false">$M$6*H16+(IF(J16="SIM",$J$6,0))+(IF(K16="SIM",$K$6,0))</f>
        <v>1.65</v>
      </c>
      <c r="N16" s="66" t="n">
        <f aca="false">H16*12+I16*4+L16*2+M16</f>
        <v>30.15</v>
      </c>
      <c r="O16" s="67" t="n">
        <f aca="false">IF(K16="não", N16*(C$20+D$20),N16*(C$20+D$20)+(M16*+E$20))</f>
        <v>1604.3023638</v>
      </c>
      <c r="P16" s="68"/>
      <c r="Q16" s="23" t="str">
        <f aca="false">B16</f>
        <v>APS TORRES</v>
      </c>
      <c r="R16" s="25" t="n">
        <f aca="false">H16*($C$20+$D$20)</f>
        <v>79.816038</v>
      </c>
      <c r="S16" s="25" t="n">
        <f aca="false">I16*($C$20+$D$20)</f>
        <v>95.7792456</v>
      </c>
      <c r="T16" s="25" t="n">
        <f aca="false">L16*($C$20+$D$20)</f>
        <v>87.7976418</v>
      </c>
      <c r="U16" s="25" t="n">
        <f aca="false">IF(K16="não",M16*($C$20+$D$20),M16*(C$20+D$20+E$20))</f>
        <v>87.7976418</v>
      </c>
      <c r="V16" s="25" t="n">
        <f aca="false">VLOOKUP(Q16,'Desl. Base Caxias do Sul'!$C$5:$S$14,13,FALSE())*($C$20+$D$20+$E$20*(VLOOKUP(Q16,'Desl. Base Caxias do Sul'!$C$5:$S$14,17,FALSE())/12))</f>
        <v>256.298166466667</v>
      </c>
      <c r="W16" s="25" t="n">
        <f aca="false">VLOOKUP(Q16,'Desl. Base Caxias do Sul'!$C$5:$S$14,15,FALSE())*(2+(VLOOKUP(Q16,'Desl. Base Caxias do Sul'!$C$5:$S$14,17,FALSE())/12))</f>
        <v>0</v>
      </c>
      <c r="X16" s="25" t="n">
        <f aca="false">VLOOKUP(Q16,'Desl. Base Caxias do Sul'!$C$5:$Q$14,14,FALSE())</f>
        <v>11</v>
      </c>
      <c r="Y16" s="25" t="n">
        <f aca="false">VLOOKUP(Q16,'Desl. Base Caxias do Sul'!$C$5:$Q$14,13,FALSE())*'Desl. Base Caxias do Sul'!$E$19+'Desl. Base Caxias do Sul'!$E$20*N16/12</f>
        <v>269.308833333333</v>
      </c>
      <c r="Z16" s="25" t="n">
        <f aca="false">(H16/$AC$5)*'Equipe Técnica'!$C$13</f>
        <v>254.043124484543</v>
      </c>
      <c r="AA16" s="25" t="n">
        <f aca="false">(I16/$AC$5)*'Equipe Técnica'!$C$13</f>
        <v>304.851749381451</v>
      </c>
      <c r="AB16" s="25" t="n">
        <f aca="false">(L16/$AC$5)*'Equipe Técnica'!$C$13</f>
        <v>279.447436932997</v>
      </c>
      <c r="AC16" s="25" t="n">
        <f aca="false">(M16/$AC$5)*'Equipe Técnica'!$C$13</f>
        <v>279.447436932997</v>
      </c>
      <c r="AD16" s="25" t="n">
        <f aca="false">R16+(($V16+$W16+$X16+$Y16)*12/19)+$Z16</f>
        <v>672.768846568753</v>
      </c>
      <c r="AE16" s="25" t="n">
        <f aca="false">S16+(($V16+$W16+$X16+$Y16)*12/19)+$AA16</f>
        <v>739.540679065662</v>
      </c>
      <c r="AF16" s="25" t="n">
        <f aca="false">T16+(($V16+$W16+$X16+$Y16)*12/19)+$AB16</f>
        <v>706.154762817208</v>
      </c>
      <c r="AG16" s="25" t="n">
        <f aca="false">U16+(($V16+$W16+$X16+$Y16)*12/19)+$AC16</f>
        <v>706.154762817208</v>
      </c>
      <c r="AH16" s="2"/>
      <c r="AI16" s="23" t="str">
        <f aca="false">B16</f>
        <v>APS TORRES</v>
      </c>
      <c r="AJ16" s="69" t="n">
        <f aca="false">VLOOKUP(AI16,Unidades!D$5:H$31,5,)</f>
        <v>0.2223</v>
      </c>
      <c r="AK16" s="47" t="n">
        <f aca="false">AD16*(1+$AJ16)</f>
        <v>822.325361160987</v>
      </c>
      <c r="AL16" s="47" t="n">
        <f aca="false">AE16*(1+$AJ16)</f>
        <v>903.940572021958</v>
      </c>
      <c r="AM16" s="47" t="n">
        <f aca="false">AF16*(1+$AJ16)</f>
        <v>863.132966591473</v>
      </c>
      <c r="AN16" s="47" t="n">
        <f aca="false">AG16*(1+$AJ16)</f>
        <v>863.132966591473</v>
      </c>
      <c r="AO16" s="47" t="n">
        <f aca="false">((AK16*12)+(AL16*4)+(AM16*2)+AN16)/12</f>
        <v>1339.42212681617</v>
      </c>
      <c r="AP16" s="47" t="n">
        <f aca="false">AO16*$AP$6</f>
        <v>3531.20378887901</v>
      </c>
      <c r="AQ16" s="47" t="n">
        <f aca="false">AO16+AP16</f>
        <v>4870.62591569518</v>
      </c>
      <c r="AR16" s="70"/>
      <c r="AS16" s="70"/>
      <c r="AT16" s="70"/>
      <c r="AU16" s="70"/>
      <c r="AV16" s="70"/>
      <c r="AW16" s="70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</row>
    <row r="17" customFormat="false" ht="19.5" hidden="false" customHeight="true" outlineLevel="0" collapsed="false">
      <c r="A17" s="55"/>
      <c r="B17" s="74" t="s">
        <v>96</v>
      </c>
      <c r="C17" s="75" t="n">
        <f aca="false">SUM(C7:C16)</f>
        <v>9708.88</v>
      </c>
      <c r="D17" s="75" t="n">
        <f aca="false">SUM(D7:D16)</f>
        <v>5997.41</v>
      </c>
      <c r="E17" s="75" t="n">
        <f aca="false">SUM(E7:E16)</f>
        <v>2868.39</v>
      </c>
      <c r="F17" s="75" t="n">
        <f aca="false">SUM(F7:F16)</f>
        <v>843.08</v>
      </c>
      <c r="G17" s="75" t="n">
        <f aca="false">SUM(G7:G16)</f>
        <v>7085.6545</v>
      </c>
      <c r="H17" s="76" t="n">
        <f aca="false">SUM(H7:H16)</f>
        <v>17.5</v>
      </c>
      <c r="I17" s="76" t="n">
        <f aca="false">SUM(I7:I16)</f>
        <v>21</v>
      </c>
      <c r="J17" s="76" t="n">
        <f aca="false">COUNTIF(J7:J16,"SIM")</f>
        <v>1</v>
      </c>
      <c r="K17" s="76" t="n">
        <f aca="false">COUNTIF(K7:K16,"SIM")</f>
        <v>2</v>
      </c>
      <c r="L17" s="76" t="n">
        <f aca="false">SUM(L7:L16)</f>
        <v>21.25</v>
      </c>
      <c r="M17" s="76" t="n">
        <f aca="false">SUM(M7:M16)</f>
        <v>29.25</v>
      </c>
      <c r="N17" s="76" t="n">
        <f aca="false">SUM(N7:N16)</f>
        <v>365.75</v>
      </c>
      <c r="O17" s="77" t="n">
        <f aca="false">SUM(O7:O16)</f>
        <v>20022.445599</v>
      </c>
      <c r="P17" s="78"/>
      <c r="Q17" s="76" t="s">
        <v>96</v>
      </c>
      <c r="R17" s="79" t="n">
        <f aca="false">SUM(R7:R16)</f>
        <v>931.18711</v>
      </c>
      <c r="S17" s="79" t="n">
        <f aca="false">SUM(S7:S16)</f>
        <v>1117.424532</v>
      </c>
      <c r="T17" s="79" t="n">
        <f aca="false">SUM(T7:T16)</f>
        <v>1130.727205</v>
      </c>
      <c r="U17" s="79" t="n">
        <f aca="false">SUM(U7:U16)</f>
        <v>2117.047741</v>
      </c>
      <c r="V17" s="79" t="n">
        <f aca="false">SUM(V7:V16)</f>
        <v>663.199763955556</v>
      </c>
      <c r="W17" s="79" t="n">
        <f aca="false">SUM(W7:W16)</f>
        <v>0</v>
      </c>
      <c r="X17" s="79" t="n">
        <f aca="false">SUM(X7:X16)</f>
        <v>25.2</v>
      </c>
      <c r="Y17" s="79" t="n">
        <f aca="false">SUM(Y7:Y16)</f>
        <v>844.6955</v>
      </c>
      <c r="Z17" s="79" t="n">
        <f aca="false">SUM(Z7:Z16)</f>
        <v>2963.83645231966</v>
      </c>
      <c r="AA17" s="79" t="n">
        <f aca="false">SUM(AA7:AA16)</f>
        <v>3556.6037427836</v>
      </c>
      <c r="AB17" s="79" t="n">
        <f aca="false">SUM(AB7:AB16)</f>
        <v>3598.94426353102</v>
      </c>
      <c r="AC17" s="79" t="n">
        <f aca="false">SUM(AC7:AC16)</f>
        <v>4953.84092744858</v>
      </c>
      <c r="AD17" s="79" t="n">
        <f aca="false">SUM(AD7:AD16)</f>
        <v>4863.29425534423</v>
      </c>
      <c r="AE17" s="79" t="n">
        <f aca="false">SUM(AE7:AE16)</f>
        <v>5642.29896780816</v>
      </c>
      <c r="AF17" s="79" t="n">
        <f aca="false">SUM(AF7:AF16)</f>
        <v>5697.94216155558</v>
      </c>
      <c r="AG17" s="79" t="n">
        <f aca="false">SUM(AG7:AG16)</f>
        <v>8039.15936147315</v>
      </c>
      <c r="AH17" s="55"/>
      <c r="AI17" s="76" t="s">
        <v>96</v>
      </c>
      <c r="AJ17" s="76"/>
      <c r="AK17" s="80" t="n">
        <f aca="false">SUM(AK7:AK16)</f>
        <v>6019.02574164061</v>
      </c>
      <c r="AL17" s="80" t="n">
        <f aca="false">SUM(AL7:AL16)</f>
        <v>6984.13913136768</v>
      </c>
      <c r="AM17" s="80" t="n">
        <f aca="false">SUM(AM7:AM16)</f>
        <v>7057.43568476341</v>
      </c>
      <c r="AN17" s="80" t="n">
        <f aca="false">SUM(AN7:AN16)</f>
        <v>9966.09015247102</v>
      </c>
      <c r="AO17" s="80" t="n">
        <f aca="false">SUM(AO7:AO16)</f>
        <v>10353.818912263</v>
      </c>
      <c r="AP17" s="80" t="n">
        <f aca="false">SUM(AP7:AP16)</f>
        <v>27296.4316777842</v>
      </c>
      <c r="AQ17" s="80" t="n">
        <f aca="false">SUM(AQ7:AQ16)</f>
        <v>37650.2505900472</v>
      </c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  <c r="IQ17" s="55"/>
      <c r="IR17" s="55"/>
      <c r="IS17" s="55"/>
      <c r="IT17" s="55"/>
      <c r="IU17" s="55"/>
      <c r="IV17" s="55"/>
      <c r="IW17" s="55"/>
      <c r="IX17" s="55"/>
      <c r="IY17" s="55"/>
      <c r="IZ17" s="55"/>
      <c r="JA17" s="55"/>
      <c r="JB17" s="55"/>
      <c r="JC17" s="55"/>
      <c r="JD17" s="55"/>
      <c r="JE17" s="55"/>
      <c r="JF17" s="55"/>
      <c r="JG17" s="55"/>
      <c r="JH17" s="55"/>
      <c r="JI17" s="55"/>
      <c r="JJ17" s="55"/>
      <c r="JK17" s="55"/>
      <c r="JL17" s="55"/>
      <c r="JM17" s="55"/>
      <c r="JN17" s="55"/>
      <c r="JO17" s="55"/>
      <c r="JP17" s="55"/>
      <c r="JQ17" s="55"/>
      <c r="JR17" s="55"/>
      <c r="JS17" s="55"/>
      <c r="JT17" s="55"/>
      <c r="JU17" s="55"/>
      <c r="JV17" s="55"/>
      <c r="JW17" s="55"/>
      <c r="JX17" s="55"/>
      <c r="JY17" s="55"/>
      <c r="JZ17" s="55"/>
      <c r="KA17" s="55"/>
      <c r="KB17" s="55"/>
      <c r="KC17" s="55"/>
      <c r="KD17" s="55"/>
      <c r="KE17" s="55"/>
      <c r="KF17" s="55"/>
      <c r="KG17" s="55"/>
      <c r="KH17" s="55"/>
      <c r="KI17" s="55"/>
      <c r="KJ17" s="55"/>
      <c r="KK17" s="55"/>
      <c r="KL17" s="55"/>
      <c r="KM17" s="55"/>
      <c r="KN17" s="55"/>
      <c r="KO17" s="55"/>
      <c r="KP17" s="55"/>
      <c r="KQ17" s="55"/>
      <c r="KR17" s="55"/>
      <c r="KS17" s="55"/>
      <c r="KT17" s="55"/>
      <c r="KU17" s="55"/>
      <c r="KV17" s="55"/>
      <c r="KW17" s="55"/>
      <c r="KX17" s="55"/>
      <c r="KY17" s="55"/>
      <c r="KZ17" s="55"/>
      <c r="LA17" s="55"/>
      <c r="LB17" s="55"/>
      <c r="LC17" s="55"/>
      <c r="LD17" s="55"/>
      <c r="LE17" s="55"/>
      <c r="LF17" s="55"/>
      <c r="LG17" s="55"/>
      <c r="LH17" s="55"/>
      <c r="LI17" s="55"/>
      <c r="LJ17" s="55"/>
      <c r="LK17" s="55"/>
      <c r="LL17" s="55"/>
      <c r="LM17" s="55"/>
      <c r="LN17" s="55"/>
      <c r="LO17" s="55"/>
      <c r="LP17" s="55"/>
      <c r="LQ17" s="55"/>
      <c r="LR17" s="55"/>
      <c r="LS17" s="55"/>
      <c r="LT17" s="55"/>
      <c r="LU17" s="55"/>
      <c r="LV17" s="55"/>
      <c r="LW17" s="55"/>
      <c r="LX17" s="55"/>
      <c r="LY17" s="55"/>
      <c r="LZ17" s="55"/>
      <c r="MA17" s="55"/>
      <c r="MB17" s="55"/>
      <c r="MC17" s="55"/>
      <c r="MD17" s="55"/>
      <c r="ME17" s="55"/>
      <c r="MF17" s="55"/>
      <c r="MG17" s="55"/>
      <c r="MH17" s="55"/>
      <c r="MI17" s="55"/>
      <c r="MJ17" s="55"/>
      <c r="MK17" s="55"/>
      <c r="ML17" s="55"/>
      <c r="MM17" s="55"/>
      <c r="MN17" s="55"/>
      <c r="MO17" s="55"/>
      <c r="MP17" s="55"/>
      <c r="MQ17" s="55"/>
      <c r="MR17" s="55"/>
      <c r="MS17" s="55"/>
      <c r="MT17" s="55"/>
      <c r="MU17" s="55"/>
      <c r="MV17" s="55"/>
      <c r="MW17" s="55"/>
      <c r="MX17" s="55"/>
      <c r="MY17" s="55"/>
      <c r="MZ17" s="55"/>
      <c r="NA17" s="55"/>
      <c r="NB17" s="55"/>
      <c r="NC17" s="55"/>
      <c r="ND17" s="55"/>
      <c r="NE17" s="55"/>
      <c r="NF17" s="55"/>
      <c r="NG17" s="55"/>
      <c r="NH17" s="55"/>
      <c r="NI17" s="55"/>
      <c r="NJ17" s="55"/>
      <c r="NK17" s="55"/>
      <c r="NL17" s="55"/>
      <c r="NM17" s="55"/>
      <c r="NN17" s="55"/>
      <c r="NO17" s="55"/>
      <c r="NP17" s="55"/>
      <c r="NQ17" s="55"/>
      <c r="NR17" s="55"/>
      <c r="NS17" s="55"/>
      <c r="NT17" s="55"/>
      <c r="NU17" s="55"/>
      <c r="NV17" s="55"/>
      <c r="NW17" s="55"/>
      <c r="NX17" s="55"/>
      <c r="NY17" s="55"/>
      <c r="NZ17" s="55"/>
      <c r="OA17" s="55"/>
      <c r="OB17" s="55"/>
      <c r="OC17" s="55"/>
      <c r="OD17" s="55"/>
      <c r="OE17" s="55"/>
      <c r="OF17" s="55"/>
      <c r="OG17" s="55"/>
      <c r="OH17" s="55"/>
      <c r="OI17" s="55"/>
      <c r="OJ17" s="55"/>
      <c r="OK17" s="55"/>
      <c r="OL17" s="55"/>
      <c r="OM17" s="55"/>
      <c r="ON17" s="55"/>
      <c r="OO17" s="55"/>
      <c r="OP17" s="55"/>
      <c r="OQ17" s="55"/>
      <c r="OR17" s="55"/>
      <c r="OS17" s="55"/>
      <c r="OT17" s="55"/>
      <c r="OU17" s="55"/>
      <c r="OV17" s="55"/>
      <c r="OW17" s="55"/>
      <c r="OX17" s="55"/>
      <c r="OY17" s="55"/>
      <c r="OZ17" s="55"/>
      <c r="PA17" s="55"/>
      <c r="PB17" s="55"/>
      <c r="PC17" s="55"/>
      <c r="PD17" s="55"/>
      <c r="PE17" s="55"/>
      <c r="PF17" s="55"/>
      <c r="PG17" s="55"/>
      <c r="PH17" s="55"/>
      <c r="PI17" s="55"/>
      <c r="PJ17" s="55"/>
      <c r="PK17" s="55"/>
      <c r="PL17" s="55"/>
      <c r="PM17" s="55"/>
      <c r="PN17" s="55"/>
      <c r="PO17" s="55"/>
      <c r="PP17" s="55"/>
      <c r="PQ17" s="55"/>
      <c r="PR17" s="55"/>
      <c r="PS17" s="55"/>
      <c r="PT17" s="55"/>
      <c r="PU17" s="55"/>
      <c r="PV17" s="55"/>
      <c r="PW17" s="55"/>
      <c r="PX17" s="55"/>
      <c r="PY17" s="55"/>
      <c r="PZ17" s="55"/>
      <c r="QA17" s="55"/>
      <c r="QB17" s="55"/>
      <c r="QC17" s="55"/>
      <c r="QD17" s="55"/>
      <c r="QE17" s="55"/>
      <c r="QF17" s="55"/>
      <c r="QG17" s="55"/>
      <c r="QH17" s="55"/>
      <c r="QI17" s="55"/>
      <c r="QJ17" s="55"/>
      <c r="QK17" s="55"/>
      <c r="QL17" s="55"/>
      <c r="QM17" s="55"/>
      <c r="QN17" s="55"/>
      <c r="QO17" s="55"/>
      <c r="QP17" s="55"/>
      <c r="QQ17" s="55"/>
      <c r="QR17" s="55"/>
      <c r="QS17" s="55"/>
      <c r="QT17" s="55"/>
      <c r="QU17" s="55"/>
      <c r="QV17" s="55"/>
      <c r="QW17" s="55"/>
      <c r="QX17" s="55"/>
      <c r="QY17" s="55"/>
      <c r="QZ17" s="55"/>
      <c r="RA17" s="55"/>
      <c r="RB17" s="55"/>
      <c r="RC17" s="55"/>
      <c r="RD17" s="55"/>
      <c r="RE17" s="55"/>
      <c r="RF17" s="55"/>
      <c r="RG17" s="55"/>
      <c r="RH17" s="55"/>
      <c r="RI17" s="55"/>
      <c r="RJ17" s="55"/>
      <c r="RK17" s="55"/>
      <c r="RL17" s="55"/>
      <c r="RM17" s="55"/>
      <c r="RN17" s="55"/>
      <c r="RO17" s="55"/>
      <c r="RP17" s="55"/>
      <c r="RQ17" s="55"/>
      <c r="RR17" s="55"/>
      <c r="RS17" s="55"/>
      <c r="RT17" s="55"/>
      <c r="RU17" s="55"/>
      <c r="RV17" s="55"/>
      <c r="RW17" s="55"/>
      <c r="RX17" s="55"/>
      <c r="RY17" s="55"/>
      <c r="RZ17" s="55"/>
      <c r="SA17" s="55"/>
      <c r="SB17" s="55"/>
      <c r="SC17" s="55"/>
      <c r="SD17" s="55"/>
      <c r="SE17" s="55"/>
      <c r="SF17" s="55"/>
      <c r="SG17" s="55"/>
      <c r="SH17" s="55"/>
      <c r="SI17" s="55"/>
      <c r="SJ17" s="55"/>
      <c r="SK17" s="55"/>
      <c r="SL17" s="55"/>
      <c r="SM17" s="55"/>
      <c r="SN17" s="55"/>
      <c r="SO17" s="55"/>
      <c r="SP17" s="55"/>
      <c r="SQ17" s="55"/>
      <c r="SR17" s="55"/>
      <c r="SS17" s="55"/>
      <c r="ST17" s="55"/>
      <c r="SU17" s="55"/>
      <c r="SV17" s="55"/>
      <c r="SW17" s="55"/>
      <c r="SX17" s="55"/>
      <c r="SY17" s="55"/>
      <c r="SZ17" s="55"/>
      <c r="TA17" s="55"/>
      <c r="TB17" s="55"/>
      <c r="TC17" s="55"/>
      <c r="TD17" s="55"/>
      <c r="TE17" s="55"/>
      <c r="TF17" s="55"/>
      <c r="TG17" s="55"/>
      <c r="TH17" s="55"/>
      <c r="TI17" s="55"/>
      <c r="TJ17" s="55"/>
      <c r="TK17" s="55"/>
      <c r="TL17" s="55"/>
      <c r="TM17" s="55"/>
      <c r="TN17" s="55"/>
      <c r="TO17" s="55"/>
      <c r="TP17" s="55"/>
      <c r="TQ17" s="55"/>
      <c r="TR17" s="55"/>
      <c r="TS17" s="55"/>
      <c r="TT17" s="55"/>
      <c r="TU17" s="55"/>
      <c r="TV17" s="55"/>
      <c r="TW17" s="55"/>
      <c r="TX17" s="55"/>
      <c r="TY17" s="55"/>
      <c r="TZ17" s="55"/>
      <c r="UA17" s="55"/>
      <c r="UB17" s="55"/>
      <c r="UC17" s="55"/>
      <c r="UD17" s="55"/>
      <c r="UE17" s="55"/>
      <c r="UF17" s="55"/>
      <c r="UG17" s="55"/>
      <c r="UH17" s="55"/>
      <c r="UI17" s="55"/>
      <c r="UJ17" s="55"/>
      <c r="UK17" s="55"/>
      <c r="UL17" s="55"/>
      <c r="UM17" s="55"/>
      <c r="UN17" s="55"/>
      <c r="UO17" s="55"/>
      <c r="UP17" s="55"/>
      <c r="UQ17" s="55"/>
      <c r="UR17" s="55"/>
      <c r="US17" s="55"/>
      <c r="UT17" s="55"/>
      <c r="UU17" s="55"/>
      <c r="UV17" s="55"/>
      <c r="UW17" s="55"/>
      <c r="UX17" s="55"/>
      <c r="UY17" s="55"/>
      <c r="UZ17" s="55"/>
      <c r="VA17" s="55"/>
      <c r="VB17" s="55"/>
      <c r="VC17" s="55"/>
      <c r="VD17" s="55"/>
      <c r="VE17" s="55"/>
      <c r="VF17" s="55"/>
      <c r="VG17" s="55"/>
      <c r="VH17" s="55"/>
      <c r="VI17" s="55"/>
      <c r="VJ17" s="55"/>
      <c r="VK17" s="55"/>
      <c r="VL17" s="55"/>
      <c r="VM17" s="55"/>
      <c r="VN17" s="55"/>
      <c r="VO17" s="55"/>
      <c r="VP17" s="55"/>
      <c r="VQ17" s="55"/>
      <c r="VR17" s="55"/>
      <c r="VS17" s="55"/>
      <c r="VT17" s="55"/>
      <c r="VU17" s="55"/>
      <c r="VV17" s="55"/>
      <c r="VW17" s="55"/>
      <c r="VX17" s="55"/>
      <c r="VY17" s="55"/>
      <c r="VZ17" s="55"/>
      <c r="WA17" s="55"/>
      <c r="WB17" s="55"/>
      <c r="WC17" s="55"/>
      <c r="WD17" s="55"/>
      <c r="WE17" s="55"/>
      <c r="WF17" s="55"/>
      <c r="WG17" s="55"/>
      <c r="WH17" s="55"/>
      <c r="WI17" s="55"/>
      <c r="WJ17" s="55"/>
      <c r="WK17" s="55"/>
      <c r="WL17" s="55"/>
      <c r="WM17" s="55"/>
      <c r="WN17" s="55"/>
      <c r="WO17" s="55"/>
      <c r="WP17" s="55"/>
      <c r="WQ17" s="55"/>
      <c r="WR17" s="55"/>
      <c r="WS17" s="55"/>
      <c r="WT17" s="55"/>
      <c r="WU17" s="55"/>
      <c r="WV17" s="55"/>
      <c r="WW17" s="55"/>
      <c r="WX17" s="55"/>
      <c r="WY17" s="55"/>
      <c r="WZ17" s="55"/>
      <c r="XA17" s="55"/>
      <c r="XB17" s="55"/>
      <c r="XC17" s="55"/>
      <c r="XD17" s="55"/>
      <c r="XE17" s="55"/>
      <c r="XF17" s="55"/>
      <c r="XG17" s="55"/>
      <c r="XH17" s="55"/>
      <c r="XI17" s="55"/>
      <c r="XJ17" s="55"/>
      <c r="XK17" s="55"/>
      <c r="XL17" s="55"/>
      <c r="XM17" s="55"/>
      <c r="XN17" s="55"/>
      <c r="XO17" s="55"/>
      <c r="XP17" s="55"/>
      <c r="XQ17" s="55"/>
      <c r="XR17" s="55"/>
      <c r="XS17" s="55"/>
      <c r="XT17" s="55"/>
      <c r="XU17" s="55"/>
      <c r="XV17" s="55"/>
      <c r="XW17" s="55"/>
      <c r="XX17" s="55"/>
      <c r="XY17" s="55"/>
      <c r="XZ17" s="55"/>
      <c r="YA17" s="55"/>
      <c r="YB17" s="55"/>
      <c r="YC17" s="55"/>
      <c r="YD17" s="55"/>
      <c r="YE17" s="55"/>
      <c r="YF17" s="55"/>
      <c r="YG17" s="55"/>
      <c r="YH17" s="55"/>
      <c r="YI17" s="55"/>
      <c r="YJ17" s="55"/>
      <c r="YK17" s="55"/>
      <c r="YL17" s="55"/>
      <c r="YM17" s="55"/>
      <c r="YN17" s="55"/>
      <c r="YO17" s="55"/>
      <c r="YP17" s="55"/>
      <c r="YQ17" s="55"/>
      <c r="YR17" s="55"/>
      <c r="YS17" s="55"/>
      <c r="YT17" s="55"/>
      <c r="YU17" s="55"/>
      <c r="YV17" s="55"/>
      <c r="YW17" s="55"/>
      <c r="YX17" s="55"/>
      <c r="YY17" s="55"/>
      <c r="YZ17" s="55"/>
      <c r="ZA17" s="55"/>
      <c r="ZB17" s="55"/>
      <c r="ZC17" s="55"/>
      <c r="ZD17" s="55"/>
      <c r="ZE17" s="55"/>
      <c r="ZF17" s="55"/>
      <c r="ZG17" s="55"/>
      <c r="ZH17" s="55"/>
      <c r="ZI17" s="55"/>
      <c r="ZJ17" s="55"/>
      <c r="ZK17" s="55"/>
      <c r="ZL17" s="55"/>
      <c r="ZM17" s="55"/>
      <c r="ZN17" s="55"/>
      <c r="ZO17" s="55"/>
      <c r="ZP17" s="55"/>
      <c r="ZQ17" s="55"/>
      <c r="ZR17" s="55"/>
      <c r="ZS17" s="55"/>
      <c r="ZT17" s="55"/>
      <c r="ZU17" s="55"/>
      <c r="ZV17" s="55"/>
      <c r="ZW17" s="55"/>
      <c r="ZX17" s="55"/>
      <c r="ZY17" s="55"/>
      <c r="ZZ17" s="55"/>
      <c r="AAA17" s="55"/>
      <c r="AAB17" s="55"/>
      <c r="AAC17" s="55"/>
      <c r="AAD17" s="55"/>
      <c r="AAE17" s="55"/>
      <c r="AAF17" s="55"/>
      <c r="AAG17" s="55"/>
      <c r="AAH17" s="55"/>
      <c r="AAI17" s="55"/>
      <c r="AAJ17" s="55"/>
      <c r="AAK17" s="55"/>
      <c r="AAL17" s="55"/>
      <c r="AAM17" s="55"/>
      <c r="AAN17" s="55"/>
      <c r="AAO17" s="55"/>
      <c r="AAP17" s="55"/>
      <c r="AAQ17" s="55"/>
      <c r="AAR17" s="55"/>
      <c r="AAS17" s="55"/>
      <c r="AAT17" s="55"/>
      <c r="AAU17" s="55"/>
      <c r="AAV17" s="55"/>
      <c r="AAW17" s="55"/>
      <c r="AAX17" s="55"/>
      <c r="AAY17" s="55"/>
      <c r="AAZ17" s="55"/>
      <c r="ABA17" s="55"/>
      <c r="ABB17" s="55"/>
      <c r="ABC17" s="55"/>
      <c r="ABD17" s="55"/>
      <c r="ABE17" s="55"/>
      <c r="ABF17" s="55"/>
      <c r="ABG17" s="55"/>
      <c r="ABH17" s="55"/>
      <c r="ABI17" s="55"/>
      <c r="ABJ17" s="55"/>
      <c r="ABK17" s="55"/>
      <c r="ABL17" s="55"/>
      <c r="ABM17" s="55"/>
      <c r="ABN17" s="55"/>
      <c r="ABO17" s="55"/>
      <c r="ABP17" s="55"/>
      <c r="ABQ17" s="55"/>
      <c r="ABR17" s="55"/>
      <c r="ABS17" s="55"/>
      <c r="ABT17" s="55"/>
      <c r="ABU17" s="55"/>
      <c r="ABV17" s="55"/>
      <c r="ABW17" s="55"/>
      <c r="ABX17" s="55"/>
      <c r="ABY17" s="55"/>
      <c r="ABZ17" s="55"/>
      <c r="ACA17" s="55"/>
      <c r="ACB17" s="55"/>
      <c r="ACC17" s="55"/>
      <c r="ACD17" s="55"/>
      <c r="ACE17" s="55"/>
      <c r="ACF17" s="55"/>
      <c r="ACG17" s="55"/>
      <c r="ACH17" s="55"/>
      <c r="ACI17" s="55"/>
      <c r="ACJ17" s="55"/>
      <c r="ACK17" s="55"/>
      <c r="ACL17" s="55"/>
      <c r="ACM17" s="55"/>
      <c r="ACN17" s="55"/>
      <c r="ACO17" s="55"/>
      <c r="ACP17" s="55"/>
      <c r="ACQ17" s="55"/>
      <c r="ACR17" s="55"/>
      <c r="ACS17" s="55"/>
      <c r="ACT17" s="55"/>
      <c r="ACU17" s="55"/>
      <c r="ACV17" s="55"/>
      <c r="ACW17" s="55"/>
      <c r="ACX17" s="55"/>
      <c r="ACY17" s="55"/>
      <c r="ACZ17" s="55"/>
      <c r="ADA17" s="55"/>
      <c r="ADB17" s="55"/>
      <c r="ADC17" s="55"/>
      <c r="ADD17" s="55"/>
      <c r="ADE17" s="55"/>
      <c r="ADF17" s="55"/>
      <c r="ADG17" s="55"/>
      <c r="ADH17" s="55"/>
      <c r="ADI17" s="55"/>
      <c r="ADJ17" s="55"/>
      <c r="ADK17" s="55"/>
      <c r="ADL17" s="55"/>
      <c r="ADM17" s="55"/>
      <c r="ADN17" s="55"/>
      <c r="ADO17" s="55"/>
      <c r="ADP17" s="55"/>
      <c r="ADQ17" s="55"/>
      <c r="ADR17" s="55"/>
      <c r="ADS17" s="55"/>
      <c r="ADT17" s="55"/>
      <c r="ADU17" s="55"/>
      <c r="ADV17" s="55"/>
      <c r="ADW17" s="55"/>
      <c r="ADX17" s="55"/>
      <c r="ADY17" s="55"/>
      <c r="ADZ17" s="55"/>
      <c r="AEA17" s="55"/>
      <c r="AEB17" s="55"/>
      <c r="AEC17" s="55"/>
      <c r="AED17" s="55"/>
      <c r="AEE17" s="55"/>
      <c r="AEF17" s="55"/>
      <c r="AEG17" s="55"/>
      <c r="AEH17" s="55"/>
      <c r="AEI17" s="55"/>
      <c r="AEJ17" s="55"/>
      <c r="AEK17" s="55"/>
      <c r="AEL17" s="55"/>
      <c r="AEM17" s="55"/>
      <c r="AEN17" s="55"/>
      <c r="AEO17" s="55"/>
      <c r="AEP17" s="55"/>
      <c r="AEQ17" s="55"/>
      <c r="AER17" s="55"/>
      <c r="AES17" s="55"/>
      <c r="AET17" s="55"/>
      <c r="AEU17" s="55"/>
      <c r="AEV17" s="55"/>
      <c r="AEW17" s="55"/>
      <c r="AEX17" s="55"/>
      <c r="AEY17" s="55"/>
      <c r="AEZ17" s="55"/>
      <c r="AFA17" s="55"/>
      <c r="AFB17" s="55"/>
      <c r="AFC17" s="55"/>
      <c r="AFD17" s="55"/>
      <c r="AFE17" s="55"/>
      <c r="AFF17" s="55"/>
      <c r="AFG17" s="55"/>
      <c r="AFH17" s="55"/>
      <c r="AFI17" s="55"/>
      <c r="AFJ17" s="55"/>
      <c r="AFK17" s="55"/>
      <c r="AFL17" s="55"/>
      <c r="AFM17" s="55"/>
      <c r="AFN17" s="55"/>
      <c r="AFO17" s="55"/>
      <c r="AFP17" s="55"/>
      <c r="AFQ17" s="55"/>
      <c r="AFR17" s="55"/>
      <c r="AFS17" s="55"/>
      <c r="AFT17" s="55"/>
      <c r="AFU17" s="55"/>
      <c r="AFV17" s="55"/>
      <c r="AFW17" s="55"/>
      <c r="AFX17" s="55"/>
      <c r="AFY17" s="55"/>
      <c r="AFZ17" s="55"/>
      <c r="AGA17" s="55"/>
      <c r="AGB17" s="55"/>
      <c r="AGC17" s="55"/>
      <c r="AGD17" s="55"/>
      <c r="AGE17" s="55"/>
      <c r="AGF17" s="55"/>
      <c r="AGG17" s="55"/>
      <c r="AGH17" s="55"/>
      <c r="AGI17" s="55"/>
      <c r="AGJ17" s="55"/>
      <c r="AGK17" s="55"/>
      <c r="AGL17" s="55"/>
      <c r="AGM17" s="55"/>
      <c r="AGN17" s="55"/>
      <c r="AGO17" s="55"/>
      <c r="AGP17" s="55"/>
      <c r="AGQ17" s="55"/>
      <c r="AGR17" s="55"/>
      <c r="AGS17" s="55"/>
      <c r="AGT17" s="55"/>
      <c r="AGU17" s="55"/>
      <c r="AGV17" s="55"/>
      <c r="AGW17" s="55"/>
      <c r="AGX17" s="55"/>
      <c r="AGY17" s="55"/>
      <c r="AGZ17" s="55"/>
      <c r="AHA17" s="55"/>
      <c r="AHB17" s="55"/>
      <c r="AHC17" s="55"/>
      <c r="AHD17" s="55"/>
      <c r="AHE17" s="55"/>
      <c r="AHF17" s="55"/>
      <c r="AHG17" s="55"/>
      <c r="AHH17" s="55"/>
      <c r="AHI17" s="55"/>
      <c r="AHJ17" s="55"/>
      <c r="AHK17" s="55"/>
      <c r="AHL17" s="55"/>
      <c r="AHM17" s="55"/>
      <c r="AHN17" s="55"/>
      <c r="AHO17" s="55"/>
      <c r="AHP17" s="55"/>
      <c r="AHQ17" s="55"/>
      <c r="AHR17" s="55"/>
      <c r="AHS17" s="55"/>
      <c r="AHT17" s="55"/>
      <c r="AHU17" s="55"/>
      <c r="AHV17" s="55"/>
      <c r="AHW17" s="55"/>
      <c r="AHX17" s="55"/>
      <c r="AHY17" s="55"/>
      <c r="AHZ17" s="55"/>
      <c r="AIA17" s="55"/>
      <c r="AIB17" s="55"/>
      <c r="AIC17" s="55"/>
      <c r="AID17" s="55"/>
      <c r="AIE17" s="55"/>
      <c r="AIF17" s="55"/>
      <c r="AIG17" s="55"/>
      <c r="AIH17" s="55"/>
      <c r="AII17" s="55"/>
      <c r="AIJ17" s="55"/>
      <c r="AIK17" s="55"/>
      <c r="AIL17" s="55"/>
      <c r="AIM17" s="55"/>
      <c r="AIN17" s="55"/>
      <c r="AIO17" s="55"/>
      <c r="AIP17" s="55"/>
      <c r="AIQ17" s="55"/>
      <c r="AIR17" s="55"/>
      <c r="AIS17" s="55"/>
      <c r="AIT17" s="55"/>
      <c r="AIU17" s="55"/>
      <c r="AIV17" s="55"/>
      <c r="AIW17" s="55"/>
      <c r="AIX17" s="55"/>
      <c r="AIY17" s="55"/>
      <c r="AIZ17" s="55"/>
      <c r="AJA17" s="55"/>
      <c r="AJB17" s="55"/>
      <c r="AJC17" s="55"/>
      <c r="AJD17" s="55"/>
      <c r="AJE17" s="55"/>
      <c r="AJF17" s="55"/>
      <c r="AJG17" s="55"/>
      <c r="AJH17" s="55"/>
      <c r="AJI17" s="55"/>
      <c r="AJJ17" s="55"/>
      <c r="AJK17" s="55"/>
      <c r="AJL17" s="55"/>
      <c r="AJM17" s="55"/>
      <c r="AJN17" s="55"/>
      <c r="AJO17" s="55"/>
      <c r="AJP17" s="55"/>
      <c r="AJQ17" s="55"/>
      <c r="AJR17" s="55"/>
      <c r="AJS17" s="55"/>
      <c r="AJT17" s="55"/>
      <c r="AJU17" s="55"/>
      <c r="AJV17" s="55"/>
      <c r="AJW17" s="55"/>
      <c r="AJX17" s="55"/>
      <c r="AJY17" s="55"/>
      <c r="AJZ17" s="55"/>
      <c r="AKA17" s="55"/>
      <c r="AKB17" s="55"/>
      <c r="AKC17" s="55"/>
      <c r="AKD17" s="55"/>
      <c r="AKE17" s="55"/>
      <c r="AKF17" s="55"/>
      <c r="AKG17" s="55"/>
      <c r="AKH17" s="55"/>
      <c r="AKI17" s="55"/>
      <c r="AKJ17" s="55"/>
      <c r="AKK17" s="55"/>
      <c r="AKL17" s="55"/>
      <c r="AKM17" s="55"/>
      <c r="AKN17" s="55"/>
      <c r="AKO17" s="55"/>
      <c r="AKP17" s="55"/>
      <c r="AKQ17" s="55"/>
      <c r="AKR17" s="55"/>
      <c r="AKS17" s="55"/>
      <c r="AKT17" s="55"/>
      <c r="AKU17" s="55"/>
      <c r="AKV17" s="55"/>
      <c r="AKW17" s="55"/>
      <c r="AKX17" s="55"/>
      <c r="AKY17" s="55"/>
      <c r="AKZ17" s="55"/>
      <c r="ALA17" s="55"/>
      <c r="ALB17" s="55"/>
      <c r="ALC17" s="55"/>
      <c r="ALD17" s="55"/>
      <c r="ALE17" s="55"/>
      <c r="ALF17" s="55"/>
      <c r="ALG17" s="55"/>
      <c r="ALH17" s="55"/>
      <c r="ALI17" s="55"/>
      <c r="ALJ17" s="55"/>
      <c r="ALK17" s="55"/>
      <c r="ALL17" s="55"/>
      <c r="ALM17" s="55"/>
      <c r="ALN17" s="55"/>
      <c r="ALO17" s="55"/>
      <c r="ALP17" s="55"/>
      <c r="ALQ17" s="55"/>
      <c r="ALR17" s="55"/>
      <c r="ALS17" s="55"/>
      <c r="ALT17" s="55"/>
      <c r="ALU17" s="55"/>
      <c r="ALV17" s="55"/>
      <c r="ALW17" s="55"/>
      <c r="ALX17" s="55"/>
    </row>
    <row r="18" customFormat="false" ht="18" hidden="false" customHeight="true" outlineLevel="0" collapsed="false">
      <c r="H18" s="81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56"/>
      <c r="AE18" s="56"/>
      <c r="AF18" s="56"/>
      <c r="AG18" s="56"/>
    </row>
    <row r="19" customFormat="false" ht="39.75" hidden="false" customHeight="true" outlineLevel="0" collapsed="false">
      <c r="B19" s="46" t="s">
        <v>30</v>
      </c>
      <c r="C19" s="83" t="s">
        <v>97</v>
      </c>
      <c r="D19" s="83" t="s">
        <v>98</v>
      </c>
      <c r="E19" s="83" t="s">
        <v>99</v>
      </c>
      <c r="R19" s="84"/>
      <c r="Z19" s="84"/>
      <c r="AA19" s="84"/>
      <c r="AB19" s="84"/>
      <c r="AC19" s="84"/>
    </row>
    <row r="20" customFormat="false" ht="18" hidden="false" customHeight="true" outlineLevel="0" collapsed="false">
      <c r="B20" s="46"/>
      <c r="C20" s="85" t="n">
        <f aca="false">'Comp. Oficial de Manutenção'!D11</f>
        <v>28.820692</v>
      </c>
      <c r="D20" s="25" t="n">
        <v>24.39</v>
      </c>
      <c r="E20" s="25" t="n">
        <v>36.17</v>
      </c>
    </row>
    <row r="21" customFormat="false" ht="28.5" hidden="false" customHeight="true" outlineLevel="0" collapsed="false">
      <c r="B21" s="51" t="str">
        <f aca="false">'Equipe Técnica'!B9</f>
        <v>* Tabela SINAPI Janeiro/2025 (Não Desonerado)</v>
      </c>
    </row>
    <row r="22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9" activeCellId="0" sqref="E1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3" min="4" style="86" width="9.62"/>
    <col collapsed="false" customWidth="true" hidden="false" outlineLevel="0" max="15" min="14" style="87" width="9.62"/>
    <col collapsed="false" customWidth="true" hidden="false" outlineLevel="0" max="17" min="16" style="86" width="9.62"/>
    <col collapsed="false" customWidth="false" hidden="false" outlineLevel="0" max="18" min="18" style="86" width="8.62"/>
    <col collapsed="false" customWidth="true" hidden="false" outlineLevel="0" max="19" min="19" style="86" width="17"/>
    <col collapsed="false" customWidth="false" hidden="false" outlineLevel="0" max="260" min="20" style="86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"&amp;Resumo!B5</f>
        <v>DESLOCAMENTO BASE CAXIAS DO SUL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customFormat="false" ht="37.5" hidden="false" customHeight="true" outlineLevel="0" collapsed="false">
      <c r="B4" s="22" t="s">
        <v>100</v>
      </c>
      <c r="C4" s="22" t="str">
        <f aca="false">"Rota (saída e retorno "&amp;Resumo!B5&amp;")"</f>
        <v>Rota (saída e retorno CAXIAS DO SUL)</v>
      </c>
      <c r="D4" s="22" t="s">
        <v>101</v>
      </c>
      <c r="E4" s="22" t="s">
        <v>102</v>
      </c>
      <c r="F4" s="22" t="s">
        <v>103</v>
      </c>
      <c r="G4" s="22" t="s">
        <v>104</v>
      </c>
      <c r="H4" s="22" t="s">
        <v>105</v>
      </c>
      <c r="I4" s="22" t="s">
        <v>106</v>
      </c>
      <c r="J4" s="22" t="s">
        <v>107</v>
      </c>
      <c r="K4" s="22" t="s">
        <v>108</v>
      </c>
      <c r="L4" s="22" t="s">
        <v>109</v>
      </c>
      <c r="M4" s="89" t="s">
        <v>110</v>
      </c>
      <c r="N4" s="22" t="s">
        <v>111</v>
      </c>
      <c r="O4" s="22" t="s">
        <v>112</v>
      </c>
      <c r="P4" s="22" t="s">
        <v>113</v>
      </c>
      <c r="Q4" s="22" t="s">
        <v>67</v>
      </c>
      <c r="R4" s="33" t="s">
        <v>114</v>
      </c>
      <c r="S4" s="33" t="s">
        <v>115</v>
      </c>
    </row>
    <row r="5" customFormat="false" ht="15.75" hidden="false" customHeight="true" outlineLevel="0" collapsed="false">
      <c r="B5" s="50" t="n">
        <v>1</v>
      </c>
      <c r="C5" s="90" t="s">
        <v>81</v>
      </c>
      <c r="D5" s="91" t="n">
        <v>0</v>
      </c>
      <c r="E5" s="91" t="n">
        <v>0</v>
      </c>
      <c r="F5" s="91" t="n">
        <v>0</v>
      </c>
      <c r="G5" s="92" t="n">
        <f aca="false">SUM(D5:F5)</f>
        <v>0</v>
      </c>
      <c r="H5" s="93" t="n">
        <v>0</v>
      </c>
      <c r="I5" s="93" t="n">
        <v>0</v>
      </c>
      <c r="J5" s="93" t="n">
        <v>0</v>
      </c>
      <c r="K5" s="94" t="n">
        <f aca="false">SUM(H5:J5)</f>
        <v>0</v>
      </c>
      <c r="L5" s="95" t="n">
        <f aca="false">K5/60</f>
        <v>0</v>
      </c>
      <c r="M5" s="96" t="n">
        <v>0</v>
      </c>
      <c r="N5" s="97" t="n">
        <v>1</v>
      </c>
      <c r="O5" s="98" t="n">
        <f aca="false">L5/N5</f>
        <v>0</v>
      </c>
      <c r="P5" s="99" t="n">
        <f aca="false">M5/N5</f>
        <v>0</v>
      </c>
      <c r="Q5" s="99" t="n">
        <v>0</v>
      </c>
      <c r="R5" s="100" t="str">
        <f aca="false">INDEX('Base Caxias do Sul'!$K$7:$K$16,MATCH('Desl. Base Caxias do Sul'!C5,'Base Caxias do Sul'!$B$7:$B$16,0))</f>
        <v>SIM</v>
      </c>
      <c r="S5" s="100" t="n">
        <v>1</v>
      </c>
    </row>
    <row r="6" customFormat="false" ht="15.75" hidden="false" customHeight="true" outlineLevel="0" collapsed="false">
      <c r="B6" s="50"/>
      <c r="C6" s="90" t="s">
        <v>83</v>
      </c>
      <c r="D6" s="91" t="n">
        <v>2</v>
      </c>
      <c r="E6" s="91" t="n">
        <v>2.2</v>
      </c>
      <c r="F6" s="91" t="n">
        <v>0</v>
      </c>
      <c r="G6" s="92" t="n">
        <f aca="false">SUM(D6:F6)</f>
        <v>4.2</v>
      </c>
      <c r="H6" s="93" t="n">
        <v>6</v>
      </c>
      <c r="I6" s="93" t="n">
        <v>5</v>
      </c>
      <c r="J6" s="93" t="n">
        <v>0</v>
      </c>
      <c r="K6" s="94" t="n">
        <f aca="false">SUM(H6:J6)</f>
        <v>11</v>
      </c>
      <c r="L6" s="95" t="n">
        <f aca="false">K6/60</f>
        <v>0.183333333333333</v>
      </c>
      <c r="M6" s="96" t="n">
        <v>0</v>
      </c>
      <c r="N6" s="97" t="n">
        <v>1</v>
      </c>
      <c r="O6" s="98" t="n">
        <f aca="false">L6/N6</f>
        <v>0.183333333333333</v>
      </c>
      <c r="P6" s="99" t="n">
        <f aca="false">M6/N6</f>
        <v>0</v>
      </c>
      <c r="Q6" s="99" t="n">
        <v>0</v>
      </c>
      <c r="R6" s="100" t="str">
        <f aca="false">INDEX('Base Caxias do Sul'!$K$7:$K$16,MATCH('Desl. Base Caxias do Sul'!C6,'Base Caxias do Sul'!$B$7:$B$16,0))</f>
        <v>NÃO</v>
      </c>
      <c r="S6" s="100" t="n">
        <v>1</v>
      </c>
    </row>
    <row r="7" customFormat="false" ht="15.75" hidden="false" customHeight="true" outlineLevel="0" collapsed="false">
      <c r="B7" s="50" t="n">
        <v>2</v>
      </c>
      <c r="C7" s="90" t="s">
        <v>85</v>
      </c>
      <c r="D7" s="91" t="n">
        <v>0.7</v>
      </c>
      <c r="E7" s="91" t="n">
        <v>17.8</v>
      </c>
      <c r="F7" s="91" t="n">
        <v>18.1</v>
      </c>
      <c r="G7" s="101" t="n">
        <f aca="false">SUM(D7:F7)</f>
        <v>36.6</v>
      </c>
      <c r="H7" s="102" t="n">
        <v>2</v>
      </c>
      <c r="I7" s="102" t="n">
        <v>19</v>
      </c>
      <c r="J7" s="102" t="n">
        <v>22</v>
      </c>
      <c r="K7" s="103" t="n">
        <f aca="false">SUM(H7:J7)</f>
        <v>43</v>
      </c>
      <c r="L7" s="104" t="n">
        <f aca="false">K7/60</f>
        <v>0.716666666666667</v>
      </c>
      <c r="M7" s="99" t="n">
        <v>0</v>
      </c>
      <c r="N7" s="105" t="n">
        <v>2</v>
      </c>
      <c r="O7" s="98" t="n">
        <f aca="false">L7/N7</f>
        <v>0.358333333333333</v>
      </c>
      <c r="P7" s="99" t="n">
        <f aca="false">M7/N7</f>
        <v>0</v>
      </c>
      <c r="Q7" s="99" t="n">
        <v>0</v>
      </c>
      <c r="R7" s="100" t="str">
        <f aca="false">INDEX('Base Caxias do Sul'!$K$7:$K$16,MATCH('Desl. Base Caxias do Sul'!C7,'Base Caxias do Sul'!$B$7:$B$16,0))</f>
        <v>NÃO</v>
      </c>
      <c r="S7" s="100" t="n">
        <v>0</v>
      </c>
    </row>
    <row r="8" customFormat="false" ht="15.75" hidden="false" customHeight="true" outlineLevel="0" collapsed="false">
      <c r="B8" s="50"/>
      <c r="C8" s="90" t="s">
        <v>86</v>
      </c>
      <c r="D8" s="91"/>
      <c r="E8" s="91"/>
      <c r="F8" s="91"/>
      <c r="G8" s="101"/>
      <c r="H8" s="102"/>
      <c r="I8" s="102"/>
      <c r="J8" s="102"/>
      <c r="K8" s="103"/>
      <c r="L8" s="104"/>
      <c r="M8" s="99"/>
      <c r="N8" s="105"/>
      <c r="O8" s="98" t="n">
        <f aca="false">O7</f>
        <v>0.358333333333333</v>
      </c>
      <c r="P8" s="99" t="n">
        <f aca="false">P7</f>
        <v>0</v>
      </c>
      <c r="Q8" s="99" t="n">
        <v>0</v>
      </c>
      <c r="R8" s="100" t="str">
        <f aca="false">INDEX('Base Caxias do Sul'!$K$7:$K$16,MATCH('Desl. Base Caxias do Sul'!C8,'Base Caxias do Sul'!$B$7:$B$16,0))</f>
        <v>NÃO</v>
      </c>
      <c r="S8" s="100" t="n">
        <v>0</v>
      </c>
    </row>
    <row r="9" customFormat="false" ht="15.75" hidden="false" customHeight="true" outlineLevel="0" collapsed="false">
      <c r="B9" s="50" t="n">
        <v>3</v>
      </c>
      <c r="C9" s="90" t="s">
        <v>87</v>
      </c>
      <c r="D9" s="91" t="n">
        <v>43.6</v>
      </c>
      <c r="E9" s="91" t="n">
        <f aca="false">52.4-D9</f>
        <v>8.8</v>
      </c>
      <c r="F9" s="91" t="n">
        <v>43.3</v>
      </c>
      <c r="G9" s="101" t="n">
        <f aca="false">SUM(D9:F9)</f>
        <v>95.7</v>
      </c>
      <c r="H9" s="102" t="n">
        <v>54</v>
      </c>
      <c r="I9" s="102" t="n">
        <v>12</v>
      </c>
      <c r="J9" s="102" t="n">
        <v>45</v>
      </c>
      <c r="K9" s="103" t="n">
        <f aca="false">SUM(H9:J9)</f>
        <v>111</v>
      </c>
      <c r="L9" s="104" t="n">
        <f aca="false">K9/60</f>
        <v>1.85</v>
      </c>
      <c r="M9" s="99" t="n">
        <v>0</v>
      </c>
      <c r="N9" s="105" t="n">
        <v>2</v>
      </c>
      <c r="O9" s="98" t="n">
        <f aca="false">L9/N9</f>
        <v>0.925</v>
      </c>
      <c r="P9" s="99" t="n">
        <f aca="false">M9/N9</f>
        <v>0</v>
      </c>
      <c r="Q9" s="99" t="n">
        <v>0</v>
      </c>
      <c r="R9" s="100" t="str">
        <f aca="false">INDEX('Base Caxias do Sul'!$K$7:$K$16,MATCH('Desl. Base Caxias do Sul'!C9,'Base Caxias do Sul'!$B$7:$B$16,0))</f>
        <v>NÃO</v>
      </c>
      <c r="S9" s="100" t="n">
        <v>0</v>
      </c>
    </row>
    <row r="10" customFormat="false" ht="15.75" hidden="false" customHeight="true" outlineLevel="0" collapsed="false">
      <c r="B10" s="50"/>
      <c r="C10" s="90" t="s">
        <v>89</v>
      </c>
      <c r="D10" s="91"/>
      <c r="E10" s="91"/>
      <c r="F10" s="91"/>
      <c r="G10" s="101"/>
      <c r="H10" s="102"/>
      <c r="I10" s="102"/>
      <c r="J10" s="102"/>
      <c r="K10" s="103"/>
      <c r="L10" s="104"/>
      <c r="M10" s="99"/>
      <c r="N10" s="105"/>
      <c r="O10" s="98" t="n">
        <f aca="false">O9</f>
        <v>0.925</v>
      </c>
      <c r="P10" s="99" t="n">
        <f aca="false">P9</f>
        <v>0</v>
      </c>
      <c r="Q10" s="99" t="n">
        <v>0</v>
      </c>
      <c r="R10" s="100" t="str">
        <f aca="false">INDEX('Base Caxias do Sul'!$K$7:$K$16,MATCH('Desl. Base Caxias do Sul'!C10,'Base Caxias do Sul'!$B$7:$B$16,0))</f>
        <v>NÃO</v>
      </c>
      <c r="S10" s="100" t="n">
        <v>0</v>
      </c>
    </row>
    <row r="11" customFormat="false" ht="15.75" hidden="false" customHeight="true" outlineLevel="0" collapsed="false">
      <c r="B11" s="50" t="n">
        <v>4</v>
      </c>
      <c r="C11" s="90" t="s">
        <v>90</v>
      </c>
      <c r="D11" s="91" t="n">
        <v>40.6</v>
      </c>
      <c r="E11" s="91" t="n">
        <f aca="false">63.1-D11</f>
        <v>22.5</v>
      </c>
      <c r="F11" s="91" t="n">
        <v>20.6</v>
      </c>
      <c r="G11" s="101" t="n">
        <f aca="false">SUM(D11:F11)</f>
        <v>83.7</v>
      </c>
      <c r="H11" s="102" t="n">
        <v>46</v>
      </c>
      <c r="I11" s="102" t="n">
        <v>31</v>
      </c>
      <c r="J11" s="102" t="n">
        <v>26</v>
      </c>
      <c r="K11" s="103" t="n">
        <f aca="false">SUM(H11:J11)</f>
        <v>103</v>
      </c>
      <c r="L11" s="104" t="n">
        <f aca="false">K11/60</f>
        <v>1.71666666666667</v>
      </c>
      <c r="M11" s="99" t="n">
        <v>0</v>
      </c>
      <c r="N11" s="105" t="n">
        <v>2</v>
      </c>
      <c r="O11" s="98" t="n">
        <f aca="false">L11/N11</f>
        <v>0.858333333333333</v>
      </c>
      <c r="P11" s="99" t="n">
        <f aca="false">M11/N11</f>
        <v>0</v>
      </c>
      <c r="Q11" s="99" t="n">
        <v>0</v>
      </c>
      <c r="R11" s="100" t="str">
        <f aca="false">INDEX('Base Caxias do Sul'!$K$7:$K$16,MATCH('Desl. Base Caxias do Sul'!C11,'Base Caxias do Sul'!$B$7:$B$16,0))</f>
        <v>NÃO</v>
      </c>
      <c r="S11" s="100" t="n">
        <v>0</v>
      </c>
    </row>
    <row r="12" customFormat="false" ht="15.75" hidden="false" customHeight="true" outlineLevel="0" collapsed="false">
      <c r="B12" s="50"/>
      <c r="C12" s="90" t="s">
        <v>92</v>
      </c>
      <c r="D12" s="91"/>
      <c r="E12" s="91"/>
      <c r="F12" s="91"/>
      <c r="G12" s="101"/>
      <c r="H12" s="102"/>
      <c r="I12" s="102"/>
      <c r="J12" s="102"/>
      <c r="K12" s="103"/>
      <c r="L12" s="104"/>
      <c r="M12" s="99"/>
      <c r="N12" s="105"/>
      <c r="O12" s="98" t="n">
        <f aca="false">O11</f>
        <v>0.858333333333333</v>
      </c>
      <c r="P12" s="99" t="n">
        <f aca="false">P11</f>
        <v>0</v>
      </c>
      <c r="Q12" s="99" t="n">
        <v>0</v>
      </c>
      <c r="R12" s="100" t="str">
        <f aca="false">INDEX('Base Caxias do Sul'!$K$7:$K$16,MATCH('Desl. Base Caxias do Sul'!C12,'Base Caxias do Sul'!$B$7:$B$16,0))</f>
        <v>NÃO</v>
      </c>
      <c r="S12" s="100" t="n">
        <v>0</v>
      </c>
    </row>
    <row r="13" customFormat="false" ht="15.75" hidden="false" customHeight="true" outlineLevel="0" collapsed="false">
      <c r="B13" s="106" t="n">
        <v>5</v>
      </c>
      <c r="C13" s="90" t="s">
        <v>93</v>
      </c>
      <c r="D13" s="91" t="n">
        <v>77.4</v>
      </c>
      <c r="E13" s="91" t="n">
        <v>76.4</v>
      </c>
      <c r="F13" s="91" t="n">
        <v>0</v>
      </c>
      <c r="G13" s="92" t="n">
        <f aca="false">SUM(D13:F13)</f>
        <v>153.8</v>
      </c>
      <c r="H13" s="93" t="n">
        <v>94</v>
      </c>
      <c r="I13" s="93" t="n">
        <v>86</v>
      </c>
      <c r="J13" s="93" t="n">
        <v>0</v>
      </c>
      <c r="K13" s="94" t="n">
        <f aca="false">SUM(H13:J13)</f>
        <v>180</v>
      </c>
      <c r="L13" s="95" t="n">
        <f aca="false">K13/60</f>
        <v>3</v>
      </c>
      <c r="M13" s="96" t="n">
        <v>14.2</v>
      </c>
      <c r="N13" s="97" t="n">
        <v>1</v>
      </c>
      <c r="O13" s="98" t="n">
        <f aca="false">L13/N13</f>
        <v>3</v>
      </c>
      <c r="P13" s="99" t="n">
        <f aca="false">M13/N13</f>
        <v>14.2</v>
      </c>
      <c r="Q13" s="99" t="n">
        <v>0</v>
      </c>
      <c r="R13" s="100" t="str">
        <f aca="false">INDEX('Base Caxias do Sul'!$K$7:$K$16,MATCH('Desl. Base Caxias do Sul'!C13,'Base Caxias do Sul'!$B$7:$B$16,0))</f>
        <v>SIM</v>
      </c>
      <c r="S13" s="100" t="n">
        <v>1</v>
      </c>
    </row>
    <row r="14" customFormat="false" ht="15.75" hidden="false" customHeight="true" outlineLevel="0" collapsed="false">
      <c r="B14" s="50" t="n">
        <v>6</v>
      </c>
      <c r="C14" s="90" t="s">
        <v>95</v>
      </c>
      <c r="D14" s="91" t="n">
        <v>201</v>
      </c>
      <c r="E14" s="91" t="n">
        <v>201</v>
      </c>
      <c r="F14" s="91" t="n">
        <v>0</v>
      </c>
      <c r="G14" s="101" t="n">
        <f aca="false">SUM(D14:F14)</f>
        <v>402</v>
      </c>
      <c r="H14" s="102" t="n">
        <v>145</v>
      </c>
      <c r="I14" s="102" t="n">
        <v>144</v>
      </c>
      <c r="J14" s="102" t="n">
        <v>0</v>
      </c>
      <c r="K14" s="103" t="n">
        <f aca="false">SUM(H14:J14)</f>
        <v>289</v>
      </c>
      <c r="L14" s="104" t="n">
        <f aca="false">K14/60</f>
        <v>4.81666666666667</v>
      </c>
      <c r="M14" s="99" t="n">
        <v>11</v>
      </c>
      <c r="N14" s="105" t="n">
        <v>1</v>
      </c>
      <c r="O14" s="98" t="n">
        <f aca="false">L14/N14</f>
        <v>4.81666666666667</v>
      </c>
      <c r="P14" s="99" t="n">
        <f aca="false">M14/N14</f>
        <v>11</v>
      </c>
      <c r="Q14" s="99" t="n">
        <v>0</v>
      </c>
      <c r="R14" s="100" t="str">
        <f aca="false">INDEX('Base Caxias do Sul'!$K$7:$K$16,MATCH('Desl. Base Caxias do Sul'!C14,'Base Caxias do Sul'!$B$7:$B$16,0))</f>
        <v>NÃO</v>
      </c>
      <c r="S14" s="100" t="n">
        <v>0</v>
      </c>
    </row>
    <row r="15" customFormat="false" ht="19.5" hidden="false" customHeight="true" outlineLevel="0" collapsed="false">
      <c r="B15" s="107" t="s">
        <v>96</v>
      </c>
      <c r="C15" s="107"/>
      <c r="D15" s="107"/>
      <c r="E15" s="107"/>
      <c r="F15" s="107"/>
      <c r="G15" s="108" t="n">
        <f aca="false">SUM(G5:G14)</f>
        <v>776</v>
      </c>
      <c r="H15" s="109" t="s">
        <v>96</v>
      </c>
      <c r="I15" s="109"/>
      <c r="J15" s="109"/>
      <c r="K15" s="110" t="n">
        <f aca="false">SUM(K5:K14)</f>
        <v>737</v>
      </c>
      <c r="L15" s="111" t="n">
        <f aca="false">SUM(L5:L14)</f>
        <v>12.2833333333333</v>
      </c>
      <c r="M15" s="112" t="n">
        <f aca="false">SUM(M5:M14)</f>
        <v>25.2</v>
      </c>
      <c r="N15" s="113" t="n">
        <f aca="false">SUM(N5:N14)</f>
        <v>10</v>
      </c>
      <c r="O15" s="111"/>
      <c r="P15" s="112"/>
      <c r="Q15" s="112" t="n">
        <f aca="false">SUM(Q5:Q14)</f>
        <v>0</v>
      </c>
      <c r="R15" s="112"/>
      <c r="S15" s="112"/>
    </row>
    <row r="16" customFormat="false" ht="16.5" hidden="false" customHeight="true" outlineLevel="0" collapsed="false">
      <c r="B16" s="114"/>
      <c r="C16" s="114"/>
      <c r="D16" s="114"/>
      <c r="E16" s="114"/>
      <c r="F16" s="114"/>
    </row>
    <row r="17" customFormat="false" ht="18.75" hidden="false" customHeight="true" outlineLevel="0" collapsed="false">
      <c r="B17" s="115" t="s">
        <v>116</v>
      </c>
      <c r="C17" s="115"/>
      <c r="D17" s="115"/>
      <c r="E17" s="115"/>
      <c r="F17" s="114"/>
      <c r="G17" s="114"/>
      <c r="H17" s="114"/>
      <c r="I17" s="114"/>
      <c r="J17" s="114"/>
      <c r="K17" s="114"/>
      <c r="L17" s="114"/>
      <c r="M17" s="114"/>
      <c r="N17" s="116"/>
      <c r="O17" s="116"/>
    </row>
    <row r="18" customFormat="false" ht="18.75" hidden="false" customHeight="true" outlineLevel="0" collapsed="false">
      <c r="B18" s="117" t="s">
        <v>117</v>
      </c>
      <c r="C18" s="117" t="s">
        <v>118</v>
      </c>
      <c r="D18" s="117" t="s">
        <v>119</v>
      </c>
      <c r="E18" s="117" t="s">
        <v>120</v>
      </c>
      <c r="F18" s="114"/>
      <c r="G18" s="114"/>
      <c r="H18" s="116"/>
      <c r="I18" s="116"/>
      <c r="J18" s="114"/>
      <c r="K18" s="114"/>
      <c r="L18" s="114"/>
      <c r="M18" s="114"/>
      <c r="N18" s="116"/>
      <c r="O18" s="116"/>
    </row>
    <row r="19" customFormat="false" ht="18.75" hidden="false" customHeight="true" outlineLevel="0" collapsed="false">
      <c r="B19" s="50" t="s">
        <v>121</v>
      </c>
      <c r="C19" s="118" t="s">
        <v>122</v>
      </c>
      <c r="D19" s="50" t="s">
        <v>123</v>
      </c>
      <c r="E19" s="119" t="n">
        <f aca="false">'Comp. Veículo'!D11</f>
        <v>52.49</v>
      </c>
      <c r="F19" s="114"/>
      <c r="G19" s="114"/>
      <c r="H19" s="120"/>
      <c r="I19" s="120"/>
      <c r="J19" s="114"/>
      <c r="K19" s="114"/>
      <c r="L19" s="114"/>
      <c r="M19" s="114"/>
      <c r="N19" s="116"/>
      <c r="O19" s="116"/>
    </row>
    <row r="20" customFormat="false" ht="18.75" hidden="false" customHeight="true" outlineLevel="0" collapsed="false">
      <c r="B20" s="106" t="s">
        <v>124</v>
      </c>
      <c r="C20" s="121" t="s">
        <v>122</v>
      </c>
      <c r="D20" s="106" t="s">
        <v>125</v>
      </c>
      <c r="E20" s="122" t="n">
        <f aca="false">'Comp. Veículo'!D27</f>
        <v>6.56</v>
      </c>
      <c r="F20" s="114"/>
      <c r="G20" s="114"/>
      <c r="H20" s="120"/>
      <c r="I20" s="120"/>
      <c r="J20" s="114"/>
      <c r="K20" s="114"/>
      <c r="L20" s="114"/>
      <c r="M20" s="114"/>
      <c r="N20" s="116"/>
      <c r="O20" s="116"/>
    </row>
    <row r="21" customFormat="false" ht="47.25" hidden="false" customHeight="true" outlineLevel="0" collapsed="false">
      <c r="B21" s="123" t="s">
        <v>126</v>
      </c>
      <c r="C21" s="123"/>
      <c r="D21" s="123"/>
      <c r="E21" s="123"/>
      <c r="F21" s="124"/>
      <c r="G21" s="124"/>
      <c r="H21" s="124"/>
      <c r="I21" s="124"/>
      <c r="J21" s="124"/>
      <c r="K21" s="124"/>
      <c r="L21" s="124"/>
      <c r="M21" s="114"/>
      <c r="N21" s="116"/>
      <c r="O21" s="116"/>
    </row>
    <row r="22" customFormat="false" ht="16.5" hidden="false" customHeight="true" outlineLevel="0" collapsed="false">
      <c r="B22" s="125"/>
      <c r="C22" s="125"/>
      <c r="D22" s="125"/>
      <c r="E22" s="125"/>
      <c r="F22" s="124"/>
      <c r="G22" s="124"/>
      <c r="H22" s="124"/>
      <c r="I22" s="124"/>
      <c r="J22" s="124"/>
      <c r="K22" s="124"/>
      <c r="L22" s="124"/>
      <c r="M22" s="114"/>
      <c r="N22" s="116"/>
      <c r="O22" s="116"/>
    </row>
    <row r="23" customFormat="false" ht="16.5" hidden="false" customHeight="true" outlineLevel="0" collapsed="false">
      <c r="B23" s="115" t="s">
        <v>127</v>
      </c>
      <c r="C23" s="115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6"/>
      <c r="O23" s="116"/>
    </row>
    <row r="24" customFormat="false" ht="16.5" hidden="false" customHeight="true" outlineLevel="0" collapsed="false">
      <c r="B24" s="50" t="s">
        <v>123</v>
      </c>
      <c r="C24" s="119" t="n">
        <f aca="false">E19*L15</f>
        <v>644.752166666667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6"/>
      <c r="O24" s="116"/>
    </row>
    <row r="25" customFormat="false" ht="16.5" hidden="false" customHeight="true" outlineLevel="0" collapsed="false">
      <c r="B25" s="50" t="s">
        <v>125</v>
      </c>
      <c r="C25" s="119" t="n">
        <f aca="false">E20*('Base Caxias do Sul'!N17/12)</f>
        <v>199.943333333333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6"/>
      <c r="O25" s="116"/>
    </row>
    <row r="26" customFormat="false" ht="16.5" hidden="false" customHeight="true" outlineLevel="0" collapsed="false">
      <c r="B26" s="126" t="s">
        <v>28</v>
      </c>
      <c r="C26" s="127" t="n">
        <f aca="false">C24+C25</f>
        <v>844.6955</v>
      </c>
      <c r="D26" s="114"/>
      <c r="E26" s="114"/>
      <c r="F26" s="114"/>
      <c r="G26" s="114"/>
      <c r="H26" s="114"/>
      <c r="I26" s="114"/>
      <c r="M26" s="114"/>
      <c r="N26" s="116"/>
      <c r="O26" s="116"/>
    </row>
    <row r="27" customFormat="false" ht="16.5" hidden="false" customHeight="true" outlineLevel="0" collapsed="false">
      <c r="B27" s="114"/>
      <c r="C27" s="128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6"/>
      <c r="O27" s="116"/>
    </row>
    <row r="28" customFormat="false" ht="16.5" hidden="false" customHeight="true" outlineLevel="0" collapsed="false">
      <c r="B28" s="129" t="s">
        <v>128</v>
      </c>
      <c r="C28" s="129"/>
      <c r="D28" s="114"/>
      <c r="J28" s="114"/>
      <c r="K28" s="114"/>
      <c r="L28" s="114"/>
      <c r="M28" s="114"/>
      <c r="N28" s="116"/>
      <c r="O28" s="116"/>
    </row>
    <row r="29" customFormat="false" ht="16.5" hidden="false" customHeight="true" outlineLevel="0" collapsed="false">
      <c r="B29" s="130" t="s">
        <v>120</v>
      </c>
      <c r="C29" s="131" t="n">
        <f aca="false">SUM(M5:M14)</f>
        <v>25.2</v>
      </c>
      <c r="J29" s="114"/>
      <c r="K29" s="114"/>
      <c r="L29" s="114"/>
      <c r="M29" s="114"/>
      <c r="N29" s="116"/>
      <c r="O29" s="116"/>
    </row>
    <row r="30" customFormat="false" ht="16.5" hidden="false" customHeight="true" outlineLevel="0" collapsed="false">
      <c r="B30" s="114"/>
      <c r="C30" s="132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6"/>
      <c r="O30" s="116"/>
    </row>
    <row r="31" customFormat="false" ht="14.25" hidden="false" customHeight="false" outlineLevel="0" collapsed="false">
      <c r="B31" s="133" t="s">
        <v>129</v>
      </c>
      <c r="C31" s="134"/>
    </row>
  </sheetData>
  <mergeCells count="44">
    <mergeCell ref="B2:Q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A1:ALX1048576"/>
  <sheetViews>
    <sheetView showFormulas="false" showGridLines="false" showRowColHeaders="true" showZeros="true" rightToLeft="false" tabSelected="false" showOutlineSymbols="true" defaultGridColor="true" view="normal" topLeftCell="B13" colorId="64" zoomScale="100" zoomScaleNormal="100" zoomScalePageLayoutView="100" workbookViewId="0">
      <selection pane="topLeft" activeCell="AT12" activeCellId="0" sqref="AT12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9.62"/>
    <col collapsed="false" customWidth="true" hidden="false" outlineLevel="0" max="17" min="17" style="17" width="31.62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1.62"/>
    <col collapsed="false" customWidth="true" hidden="false" outlineLevel="0" max="40" min="36" style="17" width="10.75"/>
    <col collapsed="false" customWidth="true" hidden="false" outlineLevel="0" max="41" min="41" style="17" width="14.5"/>
    <col collapsed="false" customWidth="true" hidden="false" outlineLevel="0" max="42" min="42" style="17" width="12.5"/>
    <col collapsed="false" customWidth="true" hidden="false" outlineLevel="0" max="43" min="43" style="17" width="14.25"/>
    <col collapsed="false" customWidth="true" hidden="false" outlineLevel="0" max="44" min="44" style="17" width="2.62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66" min="50" style="17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NOVO HAMBURGO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3" t="str">
        <f aca="false">"BASE "&amp;Resumo!B6&amp;" – PLANILHA DE DISTRIBUIÇÃO DE CUSTOS POR UNIDADE"</f>
        <v>BASE NOVO HAMBURGO – PLANILHA DE DISTRIBUIÇÃO DE CUSTOS POR UNIDADE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4"/>
      <c r="AI2" s="57" t="str">
        <f aca="false">"BASE "&amp;Resumo!B6&amp;" – PLANILHA RESUMO DE CUSTOS DA BASE"</f>
        <v>BASE NOVO HAMBURGO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6" t="s">
        <v>41</v>
      </c>
      <c r="C4" s="46" t="s">
        <v>42</v>
      </c>
      <c r="D4" s="46"/>
      <c r="E4" s="46"/>
      <c r="F4" s="46"/>
      <c r="G4" s="46"/>
      <c r="H4" s="46" t="s">
        <v>43</v>
      </c>
      <c r="I4" s="46"/>
      <c r="J4" s="46"/>
      <c r="K4" s="46"/>
      <c r="L4" s="46"/>
      <c r="M4" s="46"/>
      <c r="N4" s="46"/>
      <c r="O4" s="46" t="s">
        <v>28</v>
      </c>
      <c r="P4" s="55"/>
      <c r="Q4" s="46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6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NOVO HAMBURGO</v>
      </c>
      <c r="AT4" s="59"/>
      <c r="AU4" s="59"/>
      <c r="AV4" s="59"/>
      <c r="AW4" s="59"/>
    </row>
    <row r="5" customFormat="false" ht="39.75" hidden="false" customHeight="true" outlineLevel="0" collapsed="false">
      <c r="B5" s="46"/>
      <c r="C5" s="46" t="s">
        <v>28</v>
      </c>
      <c r="D5" s="46" t="s">
        <v>51</v>
      </c>
      <c r="E5" s="46" t="s">
        <v>52</v>
      </c>
      <c r="F5" s="46" t="s">
        <v>53</v>
      </c>
      <c r="G5" s="46" t="s">
        <v>54</v>
      </c>
      <c r="H5" s="46" t="s">
        <v>55</v>
      </c>
      <c r="I5" s="46" t="s">
        <v>56</v>
      </c>
      <c r="J5" s="46" t="s">
        <v>57</v>
      </c>
      <c r="K5" s="46" t="s">
        <v>58</v>
      </c>
      <c r="L5" s="46" t="s">
        <v>59</v>
      </c>
      <c r="M5" s="46" t="s">
        <v>60</v>
      </c>
      <c r="N5" s="46" t="s">
        <v>61</v>
      </c>
      <c r="O5" s="46"/>
      <c r="P5" s="55"/>
      <c r="Q5" s="46"/>
      <c r="R5" s="46" t="s">
        <v>62</v>
      </c>
      <c r="S5" s="46" t="s">
        <v>63</v>
      </c>
      <c r="T5" s="46" t="s">
        <v>64</v>
      </c>
      <c r="U5" s="46" t="s">
        <v>65</v>
      </c>
      <c r="V5" s="46" t="s">
        <v>66</v>
      </c>
      <c r="W5" s="46" t="s">
        <v>67</v>
      </c>
      <c r="X5" s="46" t="s">
        <v>68</v>
      </c>
      <c r="Y5" s="46" t="s">
        <v>69</v>
      </c>
      <c r="Z5" s="46" t="s">
        <v>70</v>
      </c>
      <c r="AA5" s="46"/>
      <c r="AB5" s="46"/>
      <c r="AC5" s="46" t="n">
        <f aca="false">N28+'Base Caxias do Sul'!N17</f>
        <v>1169.35</v>
      </c>
      <c r="AD5" s="58" t="s">
        <v>62</v>
      </c>
      <c r="AE5" s="58" t="s">
        <v>63</v>
      </c>
      <c r="AF5" s="58" t="s">
        <v>64</v>
      </c>
      <c r="AG5" s="58" t="s">
        <v>65</v>
      </c>
      <c r="AH5" s="42"/>
      <c r="AI5" s="46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130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6"/>
      <c r="C6" s="61" t="s">
        <v>76</v>
      </c>
      <c r="D6" s="61" t="n">
        <v>1</v>
      </c>
      <c r="E6" s="61" t="n">
        <v>0.35</v>
      </c>
      <c r="F6" s="61" t="n">
        <v>0.1</v>
      </c>
      <c r="G6" s="46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6"/>
      <c r="O6" s="46"/>
      <c r="P6" s="62"/>
      <c r="Q6" s="46"/>
      <c r="R6" s="61" t="s">
        <v>77</v>
      </c>
      <c r="S6" s="61" t="s">
        <v>78</v>
      </c>
      <c r="T6" s="61" t="s">
        <v>79</v>
      </c>
      <c r="U6" s="61" t="s">
        <v>80</v>
      </c>
      <c r="V6" s="46"/>
      <c r="W6" s="46"/>
      <c r="X6" s="46"/>
      <c r="Y6" s="46"/>
      <c r="Z6" s="36" t="s">
        <v>62</v>
      </c>
      <c r="AA6" s="36" t="s">
        <v>63</v>
      </c>
      <c r="AB6" s="36" t="s">
        <v>64</v>
      </c>
      <c r="AC6" s="36" t="s">
        <v>65</v>
      </c>
      <c r="AD6" s="58"/>
      <c r="AE6" s="58"/>
      <c r="AF6" s="58"/>
      <c r="AG6" s="58"/>
      <c r="AH6" s="56"/>
      <c r="AI6" s="46"/>
      <c r="AJ6" s="58"/>
      <c r="AK6" s="58"/>
      <c r="AL6" s="58"/>
      <c r="AM6" s="58"/>
      <c r="AN6" s="58"/>
      <c r="AO6" s="58"/>
      <c r="AP6" s="58" t="n">
        <f aca="false">'Base Caxias do Sul'!AP6</f>
        <v>2.63636363636364</v>
      </c>
      <c r="AQ6" s="58"/>
      <c r="AR6" s="63"/>
      <c r="AS6" s="58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B7" s="23" t="s">
        <v>131</v>
      </c>
      <c r="C7" s="65" t="n">
        <f aca="false">VLOOKUP($B7,Unidades!$D$5:$N$35,6,FALSE())</f>
        <v>2966.29</v>
      </c>
      <c r="D7" s="65" t="n">
        <f aca="false">VLOOKUP($B7,Unidades!$D$5:$N$35,7,FALSE())</f>
        <v>585.4</v>
      </c>
      <c r="E7" s="65" t="n">
        <f aca="false">VLOOKUP($B7,Unidades!$D$5:$N$35,8,FALSE())</f>
        <v>2380.89</v>
      </c>
      <c r="F7" s="65" t="n">
        <f aca="false">VLOOKUP($B7,Unidades!$D$5:$N$35,9,FALSE())</f>
        <v>0</v>
      </c>
      <c r="G7" s="65" t="n">
        <f aca="false">D7+$E$6*E7+$F$6*F7</f>
        <v>1418.7115</v>
      </c>
      <c r="H7" s="66" t="n">
        <f aca="false">IF(G7&lt;750,1.5,IF(G7&lt;2000,2,IF(G7&lt;4000,3,12)))</f>
        <v>2</v>
      </c>
      <c r="I7" s="66" t="n">
        <f aca="false">$I$6*H7</f>
        <v>2.4</v>
      </c>
      <c r="J7" s="66" t="str">
        <f aca="false">VLOOKUP($B7,Unidades!$D$5:$N$35,10,FALSE())</f>
        <v>SIM</v>
      </c>
      <c r="K7" s="66" t="str">
        <f aca="false">VLOOKUP($B7,Unidades!$D$5:$N$35,11,FALSE())</f>
        <v>NÃO</v>
      </c>
      <c r="L7" s="66" t="n">
        <f aca="false">$L$6*H7+(IF(J7="SIM",$J$6,0))</f>
        <v>4.2</v>
      </c>
      <c r="M7" s="66" t="n">
        <f aca="false">$M$6*H7+(IF(J7="SIM",$J$6,0))+(IF(K7="SIM",$K$6,0))</f>
        <v>4.2</v>
      </c>
      <c r="N7" s="66" t="n">
        <f aca="false">H7*12+I7*4+L7*2+M7</f>
        <v>46.2</v>
      </c>
      <c r="O7" s="67" t="n">
        <f aca="false">IF(K7="não", N7*(C$31+D$31),N7*(C$31+D$31)+(M7*+E$31))</f>
        <v>2458.3339704</v>
      </c>
      <c r="P7" s="68"/>
      <c r="Q7" s="23" t="str">
        <f aca="false">B7</f>
        <v>GEX NOVO HAMBURGO</v>
      </c>
      <c r="R7" s="25" t="n">
        <f aca="false">H7*($C$31+$D$31)</f>
        <v>106.421384</v>
      </c>
      <c r="S7" s="25" t="n">
        <f aca="false">I7*($C$31+$D$31)</f>
        <v>127.7056608</v>
      </c>
      <c r="T7" s="25" t="n">
        <f aca="false">L7*($C$31+$D$31)</f>
        <v>223.4849064</v>
      </c>
      <c r="U7" s="25" t="n">
        <f aca="false">IF(K7="não",M7*($C$31+$D$31),M7*(C$31+D$31+E$31))</f>
        <v>223.4849064</v>
      </c>
      <c r="V7" s="25" t="n">
        <f aca="false">VLOOKUP(Q7,'Desl. Base Novo Hamburgo'!$C$5:$S$25,13,FALSE())*($C$31+$D$31+$E$31*(VLOOKUP(Q7,'Desl. Base Novo Hamburgo'!$C$5:$S$25,17,FALSE())/12))</f>
        <v>0</v>
      </c>
      <c r="W7" s="25" t="n">
        <f aca="false">VLOOKUP(Q7,'Desl. Base Novo Hamburgo'!$C$5:$S$25,15,FALSE())*(2+(VLOOKUP(Q7,'Desl. Base Novo Hamburgo'!$C$5:$S$25,17,FALSE())/12))</f>
        <v>0</v>
      </c>
      <c r="X7" s="25" t="n">
        <f aca="false">VLOOKUP(Q7,'Desl. Base Novo Hamburgo'!$C$5:$Q$25,14,FALSE())</f>
        <v>0</v>
      </c>
      <c r="Y7" s="25" t="n">
        <f aca="false">VLOOKUP(Q7,'Desl. Base Novo Hamburgo'!$C$5:Q$25,13,FALSE())*'Desl. Base Novo Hamburgo'!$E$30+'Desl. Base Novo Hamburgo'!$E$31*N7/12</f>
        <v>25.256</v>
      </c>
      <c r="Z7" s="25" t="n">
        <f aca="false">(H7/$AC$5)*'Equipe Técnica'!$C$13</f>
        <v>338.72416597939</v>
      </c>
      <c r="AA7" s="25" t="n">
        <f aca="false">(I7/$AC$5)*'Equipe Técnica'!$C$13</f>
        <v>406.468999175268</v>
      </c>
      <c r="AB7" s="25" t="n">
        <f aca="false">(L7/$AC$5)*'Equipe Técnica'!$C$13</f>
        <v>711.32074855672</v>
      </c>
      <c r="AC7" s="25" t="n">
        <f aca="false">(M7/$AC$5)*'Equipe Técnica'!$C$13</f>
        <v>711.32074855672</v>
      </c>
      <c r="AD7" s="25" t="n">
        <f aca="false">R7+(($V7+$W7+$X7+$Y7)*12/19)+$Z7</f>
        <v>461.096707874127</v>
      </c>
      <c r="AE7" s="25" t="n">
        <f aca="false">S7+(($V7+$W7+$X7+$Y7)*12/19)+$AA7</f>
        <v>550.125817870005</v>
      </c>
      <c r="AF7" s="25" t="n">
        <f aca="false">T7+(($V7+$W7+$X7+$Y7)*12/19)+$AB7</f>
        <v>950.756812851456</v>
      </c>
      <c r="AG7" s="25" t="n">
        <f aca="false">U7+(($V7+$W7+$X7+$Y7)*12/19)+$AC7</f>
        <v>950.756812851456</v>
      </c>
      <c r="AH7" s="135"/>
      <c r="AI7" s="23" t="str">
        <f aca="false">B7</f>
        <v>GEX NOVO HAMBURGO</v>
      </c>
      <c r="AJ7" s="69" t="n">
        <f aca="false">VLOOKUP(AI7,Unidades!D$5:H$35,5,)</f>
        <v>0.2223</v>
      </c>
      <c r="AK7" s="47" t="n">
        <f aca="false">AD7*(1+$AJ7)</f>
        <v>563.598506034546</v>
      </c>
      <c r="AL7" s="47" t="n">
        <f aca="false">AE7*(1+$AJ7)</f>
        <v>672.418787182507</v>
      </c>
      <c r="AM7" s="47" t="n">
        <f aca="false">AF7*(1+$AJ7)</f>
        <v>1162.11005234834</v>
      </c>
      <c r="AN7" s="47" t="n">
        <f aca="false">AG7*(1+$AJ7)</f>
        <v>1162.11005234834</v>
      </c>
      <c r="AO7" s="47" t="n">
        <f aca="false">((AK7*12)+(AL7*4)+(AM7*2)+AN7)/12</f>
        <v>1078.26561484913</v>
      </c>
      <c r="AP7" s="47" t="n">
        <f aca="false">AO7*$AP$6</f>
        <v>2842.70025732953</v>
      </c>
      <c r="AQ7" s="47" t="n">
        <f aca="false">AO7+AP7</f>
        <v>3920.96587217866</v>
      </c>
      <c r="AR7" s="70"/>
      <c r="AS7" s="71" t="s">
        <v>82</v>
      </c>
      <c r="AT7" s="47" t="n">
        <f aca="false">AK28</f>
        <v>12468.6129894367</v>
      </c>
      <c r="AU7" s="47" t="n">
        <f aca="false">AL28</f>
        <v>14438.163926776</v>
      </c>
      <c r="AV7" s="47" t="n">
        <f aca="false">AM28</f>
        <v>15635.5809732153</v>
      </c>
      <c r="AW7" s="47" t="n">
        <f aca="false">AN28</f>
        <v>34816.1826402362</v>
      </c>
    </row>
    <row r="8" customFormat="false" ht="15" hidden="false" customHeight="true" outlineLevel="0" collapsed="false">
      <c r="B8" s="23" t="s">
        <v>132</v>
      </c>
      <c r="C8" s="65" t="n">
        <f aca="false">VLOOKUP($B8,Unidades!$D$5:$N$35,6,FALSE())</f>
        <v>726.75</v>
      </c>
      <c r="D8" s="65" t="n">
        <f aca="false">VLOOKUP($B8,Unidades!$D$5:$N$35,7,FALSE())</f>
        <v>644.1</v>
      </c>
      <c r="E8" s="65" t="n">
        <f aca="false">VLOOKUP($B8,Unidades!$D$5:$N$35,8,FALSE())</f>
        <v>82.65</v>
      </c>
      <c r="F8" s="65" t="n">
        <f aca="false">VLOOKUP($B8,Unidades!$D$5:$N$35,9,FALSE())</f>
        <v>0</v>
      </c>
      <c r="G8" s="65" t="n">
        <f aca="false">D8+$E$6*E8+$F$6*F8</f>
        <v>673.0275</v>
      </c>
      <c r="H8" s="66" t="n">
        <f aca="false">IF(G8&lt;750,1.5,IF(G8&lt;2000,2,IF(G8&lt;4000,3,12)))</f>
        <v>1.5</v>
      </c>
      <c r="I8" s="66" t="n">
        <f aca="false">$I$6*H8</f>
        <v>1.8</v>
      </c>
      <c r="J8" s="66" t="str">
        <f aca="false">VLOOKUP($B8,Unidades!$D$5:$N$35,10,FALSE())</f>
        <v>NÃO</v>
      </c>
      <c r="K8" s="66" t="str">
        <f aca="false">VLOOKUP($B8,Unidades!$D$5:$N$35,11,FALSE())</f>
        <v>NÃO</v>
      </c>
      <c r="L8" s="66" t="n">
        <f aca="false">$L$6*H8+(IF(J8="SIM",$J$6,0))</f>
        <v>1.65</v>
      </c>
      <c r="M8" s="66" t="n">
        <f aca="false">$M$6*H8+(IF(J8="SIM",$J$6,0))+(IF(K8="SIM",$K$6,0))</f>
        <v>1.65</v>
      </c>
      <c r="N8" s="66" t="n">
        <f aca="false">H8*12+I8*4+L8*2+M8</f>
        <v>30.15</v>
      </c>
      <c r="O8" s="67" t="n">
        <f aca="false">IF(K8="não", N8*(C$31+D$31),N8*(C$31+D$31)+(M8*+E$31))</f>
        <v>1604.3023638</v>
      </c>
      <c r="P8" s="68"/>
      <c r="Q8" s="23" t="str">
        <f aca="false">B8</f>
        <v>APS NOVO HAMBURGO</v>
      </c>
      <c r="R8" s="25" t="n">
        <f aca="false">H8*($C$31+$D$31)</f>
        <v>79.816038</v>
      </c>
      <c r="S8" s="25" t="n">
        <f aca="false">I8*($C$31+$D$31)</f>
        <v>95.7792456</v>
      </c>
      <c r="T8" s="25" t="n">
        <f aca="false">L8*($C$31+$D$31)</f>
        <v>87.7976418</v>
      </c>
      <c r="U8" s="25" t="n">
        <f aca="false">IF(K8="não",M8*($C$31+$D$31),M8*(C$31+D$31+E$31))</f>
        <v>87.7976418</v>
      </c>
      <c r="V8" s="25" t="n">
        <f aca="false">VLOOKUP(Q8,'Desl. Base Novo Hamburgo'!$C$5:$S$25,13,FALSE())*($C$31+$D$31+$E$31*(VLOOKUP(Q8,'Desl. Base Novo Hamburgo'!$C$5:$S$25,17,FALSE())/12))</f>
        <v>10.6421384</v>
      </c>
      <c r="W8" s="25" t="n">
        <f aca="false">VLOOKUP(Q8,'Desl. Base Novo Hamburgo'!$C$5:$S$25,15,FALSE())*(2+(VLOOKUP(Q8,'Desl. Base Novo Hamburgo'!$C$5:$S$25,17,FALSE())/12))</f>
        <v>0</v>
      </c>
      <c r="X8" s="25" t="n">
        <f aca="false">VLOOKUP(Q8,'Desl. Base Novo Hamburgo'!$C$5:$Q$25,14,FALSE())</f>
        <v>0</v>
      </c>
      <c r="Y8" s="25" t="n">
        <f aca="false">VLOOKUP(Q8,'Desl. Base Novo Hamburgo'!$C$5:Q$25,13,FALSE())*'Desl. Base Novo Hamburgo'!$E$30+'Desl. Base Novo Hamburgo'!$E$31*N8/12</f>
        <v>26.98</v>
      </c>
      <c r="Z8" s="25" t="n">
        <f aca="false">(H8/$AC$5)*'Equipe Técnica'!$C$13</f>
        <v>254.043124484543</v>
      </c>
      <c r="AA8" s="25" t="n">
        <f aca="false">(I8/$AC$5)*'Equipe Técnica'!$C$13</f>
        <v>304.851749381451</v>
      </c>
      <c r="AB8" s="25" t="n">
        <f aca="false">(L8/$AC$5)*'Equipe Técnica'!$C$13</f>
        <v>279.447436932997</v>
      </c>
      <c r="AC8" s="25" t="n">
        <f aca="false">(M8/$AC$5)*'Equipe Técnica'!$C$13</f>
        <v>279.447436932997</v>
      </c>
      <c r="AD8" s="25" t="n">
        <f aca="false">R8+(($V8+$W8+$X8+$Y8)*12/19)+$Z8</f>
        <v>357.620513052964</v>
      </c>
      <c r="AE8" s="25" t="n">
        <f aca="false">S8+(($V8+$W8+$X8+$Y8)*12/19)+$AA8</f>
        <v>424.392345549872</v>
      </c>
      <c r="AF8" s="25" t="n">
        <f aca="false">T8+(($V8+$W8+$X8+$Y8)*12/19)+$AB8</f>
        <v>391.006429301418</v>
      </c>
      <c r="AG8" s="25" t="n">
        <f aca="false">U8+(($V8+$W8+$X8+$Y8)*12/19)+$AC8</f>
        <v>391.006429301418</v>
      </c>
      <c r="AH8" s="135"/>
      <c r="AI8" s="23" t="str">
        <f aca="false">B8</f>
        <v>APS NOVO HAMBURGO</v>
      </c>
      <c r="AJ8" s="69" t="n">
        <f aca="false">VLOOKUP(AI8,Unidades!D$5:H$35,5,)</f>
        <v>0.2223</v>
      </c>
      <c r="AK8" s="47" t="n">
        <f aca="false">AD8*(1+$AJ8)</f>
        <v>437.119553104638</v>
      </c>
      <c r="AL8" s="47" t="n">
        <f aca="false">AE8*(1+$AJ8)</f>
        <v>518.734763965609</v>
      </c>
      <c r="AM8" s="47" t="n">
        <f aca="false">AF8*(1+$AJ8)</f>
        <v>477.927158535123</v>
      </c>
      <c r="AN8" s="47" t="n">
        <f aca="false">AG8*(1+$AJ8)</f>
        <v>477.927158535123</v>
      </c>
      <c r="AO8" s="47" t="n">
        <f aca="false">((AK8*12)+(AL8*4)+(AM8*2)+AN8)/12</f>
        <v>729.512930726955</v>
      </c>
      <c r="AP8" s="47" t="n">
        <f aca="false">AO8*$AP$6</f>
        <v>1923.26136282561</v>
      </c>
      <c r="AQ8" s="47" t="n">
        <f aca="false">AO8+AP8</f>
        <v>2652.77429355256</v>
      </c>
      <c r="AR8" s="70"/>
      <c r="AS8" s="71" t="s">
        <v>84</v>
      </c>
      <c r="AT8" s="47" t="n">
        <f aca="false">AT7*12</f>
        <v>149623.35587324</v>
      </c>
      <c r="AU8" s="47" t="n">
        <f aca="false">AU7*4</f>
        <v>57752.655707104</v>
      </c>
      <c r="AV8" s="47" t="n">
        <f aca="false">AV7*2</f>
        <v>31271.1619464306</v>
      </c>
      <c r="AW8" s="47" t="n">
        <f aca="false">AW7</f>
        <v>34816.1826402362</v>
      </c>
    </row>
    <row r="9" customFormat="false" ht="15" hidden="false" customHeight="true" outlineLevel="0" collapsed="false">
      <c r="B9" s="23" t="s">
        <v>133</v>
      </c>
      <c r="C9" s="65" t="n">
        <f aca="false">VLOOKUP($B9,Unidades!$D$5:$N$35,6,FALSE())</f>
        <v>827.93</v>
      </c>
      <c r="D9" s="65" t="n">
        <f aca="false">VLOOKUP($B9,Unidades!$D$5:$N$35,7,FALSE())</f>
        <v>237.41</v>
      </c>
      <c r="E9" s="65" t="n">
        <f aca="false">VLOOKUP($B9,Unidades!$D$5:$N$35,8,FALSE())</f>
        <v>561.57</v>
      </c>
      <c r="F9" s="65" t="n">
        <f aca="false">VLOOKUP($B9,Unidades!$D$5:$N$35,9,FALSE())</f>
        <v>28.95</v>
      </c>
      <c r="G9" s="65" t="n">
        <f aca="false">D9+$E$6*E9+$F$6*F9</f>
        <v>436.8545</v>
      </c>
      <c r="H9" s="66" t="n">
        <f aca="false">IF(G9&lt;750,1.5,IF(G9&lt;2000,2,IF(G9&lt;4000,3,12)))</f>
        <v>1.5</v>
      </c>
      <c r="I9" s="66" t="n">
        <f aca="false">$I$6*H9</f>
        <v>1.8</v>
      </c>
      <c r="J9" s="66" t="str">
        <f aca="false">VLOOKUP($B9,Unidades!$D$5:$N$35,10,FALSE())</f>
        <v>NÃO</v>
      </c>
      <c r="K9" s="66" t="str">
        <f aca="false">VLOOKUP($B9,Unidades!$D$5:$N$35,11,FALSE())</f>
        <v>SIM</v>
      </c>
      <c r="L9" s="66" t="n">
        <f aca="false">$L$6*H9+(IF(J9="SIM",$J$6,0))</f>
        <v>1.65</v>
      </c>
      <c r="M9" s="66" t="n">
        <f aca="false">$M$6*H9+(IF(J9="SIM",$J$6,0))+(IF(K9="SIM",$K$6,0))</f>
        <v>5.65</v>
      </c>
      <c r="N9" s="66" t="n">
        <f aca="false">H9*12+I9*4+L9*2+M9</f>
        <v>34.15</v>
      </c>
      <c r="O9" s="67" t="n">
        <f aca="false">IF(K9="não", N9*(C$31+D$31),N9*(C$31+D$31)+(M9*+E$31))</f>
        <v>2021.5056318</v>
      </c>
      <c r="P9" s="68"/>
      <c r="Q9" s="23" t="str">
        <f aca="false">B9</f>
        <v>APS CAMPO BOM</v>
      </c>
      <c r="R9" s="25" t="n">
        <f aca="false">H9*($C$31+$D$31)</f>
        <v>79.816038</v>
      </c>
      <c r="S9" s="25" t="n">
        <f aca="false">I9*($C$31+$D$31)</f>
        <v>95.7792456</v>
      </c>
      <c r="T9" s="25" t="n">
        <f aca="false">L9*($C$31+$D$31)</f>
        <v>87.7976418</v>
      </c>
      <c r="U9" s="25" t="n">
        <f aca="false">IF(K9="não",M9*($C$31+$D$31),M9*(C$31+D$31+E$31))</f>
        <v>505.0009098</v>
      </c>
      <c r="V9" s="25" t="n">
        <f aca="false">VLOOKUP(Q9,'Desl. Base Novo Hamburgo'!$C$5:$S$25,13,FALSE())*($C$31+$D$31+$E$31*(VLOOKUP(Q9,'Desl. Base Novo Hamburgo'!$C$5:$S$25,17,FALSE())/12))</f>
        <v>14.9932956444444</v>
      </c>
      <c r="W9" s="25" t="n">
        <f aca="false">VLOOKUP(Q9,'Desl. Base Novo Hamburgo'!$C$5:$S$25,15,FALSE())*(2+(VLOOKUP(Q9,'Desl. Base Novo Hamburgo'!$C$5:$S$25,17,FALSE())/12))</f>
        <v>0</v>
      </c>
      <c r="X9" s="25" t="n">
        <f aca="false">VLOOKUP(Q9,'Desl. Base Novo Hamburgo'!$C$5:$Q$25,14,FALSE())</f>
        <v>0</v>
      </c>
      <c r="Y9" s="25" t="n">
        <f aca="false">VLOOKUP(Q9,'Desl. Base Novo Hamburgo'!$C$5:Q$25,13,FALSE())*'Desl. Base Novo Hamburgo'!$E$30+'Desl. Base Novo Hamburgo'!$E$31*N9/12</f>
        <v>32.666</v>
      </c>
      <c r="Z9" s="25" t="n">
        <f aca="false">(H9/$AC$5)*'Equipe Técnica'!$C$13</f>
        <v>254.043124484543</v>
      </c>
      <c r="AA9" s="25" t="n">
        <f aca="false">(I9/$AC$5)*'Equipe Técnica'!$C$13</f>
        <v>304.851749381451</v>
      </c>
      <c r="AB9" s="25" t="n">
        <f aca="false">(L9/$AC$5)*'Equipe Técnica'!$C$13</f>
        <v>279.447436932997</v>
      </c>
      <c r="AC9" s="25" t="n">
        <f aca="false">(M9/$AC$5)*'Equipe Técnica'!$C$13</f>
        <v>956.895768891778</v>
      </c>
      <c r="AD9" s="25" t="n">
        <f aca="false">R9+(($V9+$W9+$X9+$Y9)*12/19)+$Z9</f>
        <v>363.959770259981</v>
      </c>
      <c r="AE9" s="25" t="n">
        <f aca="false">S9+(($V9+$W9+$X9+$Y9)*12/19)+$AA9</f>
        <v>430.73160275689</v>
      </c>
      <c r="AF9" s="25" t="n">
        <f aca="false">T9+(($V9+$W9+$X9+$Y9)*12/19)+$AB9</f>
        <v>397.345686508436</v>
      </c>
      <c r="AG9" s="25" t="n">
        <f aca="false">U9+(($V9+$W9+$X9+$Y9)*12/19)+$AC9</f>
        <v>1491.99728646722</v>
      </c>
      <c r="AH9" s="135"/>
      <c r="AI9" s="23" t="str">
        <f aca="false">B9</f>
        <v>APS CAMPO BOM</v>
      </c>
      <c r="AJ9" s="69" t="n">
        <f aca="false">VLOOKUP(AI9,Unidades!D$5:H$35,5,)</f>
        <v>0.2223</v>
      </c>
      <c r="AK9" s="47" t="n">
        <f aca="false">AD9*(1+$AJ9)</f>
        <v>444.868027188775</v>
      </c>
      <c r="AL9" s="47" t="n">
        <f aca="false">AE9*(1+$AJ9)</f>
        <v>526.483238049746</v>
      </c>
      <c r="AM9" s="47" t="n">
        <f aca="false">AF9*(1+$AJ9)</f>
        <v>485.675632619261</v>
      </c>
      <c r="AN9" s="47" t="n">
        <f aca="false">AG9*(1+$AJ9)</f>
        <v>1823.66828324888</v>
      </c>
      <c r="AO9" s="47" t="n">
        <f aca="false">((AK9*12)+(AL9*4)+(AM9*2)+AN9)/12</f>
        <v>853.280735579307</v>
      </c>
      <c r="AP9" s="47" t="n">
        <f aca="false">AO9*$AP$6</f>
        <v>2249.5583028909</v>
      </c>
      <c r="AQ9" s="47" t="n">
        <f aca="false">AO9+AP9</f>
        <v>3102.83903847021</v>
      </c>
      <c r="AR9" s="70"/>
      <c r="AS9" s="70"/>
      <c r="AT9" s="72"/>
      <c r="AU9" s="72"/>
      <c r="AV9" s="72"/>
      <c r="AW9" s="72"/>
    </row>
    <row r="10" customFormat="false" ht="15" hidden="false" customHeight="true" outlineLevel="0" collapsed="false">
      <c r="B10" s="23" t="s">
        <v>134</v>
      </c>
      <c r="C10" s="65" t="n">
        <f aca="false">VLOOKUP($B10,Unidades!$D$5:$N$35,6,FALSE())</f>
        <v>3420.53</v>
      </c>
      <c r="D10" s="65" t="n">
        <f aca="false">VLOOKUP($B10,Unidades!$D$5:$N$35,7,FALSE())</f>
        <v>0</v>
      </c>
      <c r="E10" s="65" t="n">
        <f aca="false">VLOOKUP($B10,Unidades!$D$5:$N$35,8,FALSE())</f>
        <v>1660.46</v>
      </c>
      <c r="F10" s="65" t="n">
        <f aca="false">VLOOKUP($B10,Unidades!$D$5:$N$35,9,FALSE())</f>
        <v>1760.07</v>
      </c>
      <c r="G10" s="65" t="n">
        <f aca="false">D10+$E$6*E10+$F$6*F10</f>
        <v>757.168</v>
      </c>
      <c r="H10" s="66" t="n">
        <f aca="false">IF(G10&lt;750,1.5,IF(G10&lt;2000,2,IF(G10&lt;4000,3,12)))</f>
        <v>2</v>
      </c>
      <c r="I10" s="66" t="n">
        <f aca="false">$I$6*H10</f>
        <v>2.4</v>
      </c>
      <c r="J10" s="66" t="str">
        <f aca="false">VLOOKUP($B10,Unidades!$D$5:$N$35,10,FALSE())</f>
        <v>NÃO</v>
      </c>
      <c r="K10" s="66" t="str">
        <f aca="false">VLOOKUP($B10,Unidades!$D$5:$N$35,11,FALSE())</f>
        <v>SIM</v>
      </c>
      <c r="L10" s="66" t="n">
        <f aca="false">$L$6*H10+(IF(J10="SIM",$J$6,0))</f>
        <v>2.2</v>
      </c>
      <c r="M10" s="66" t="n">
        <f aca="false">$M$6*H10+(IF(J10="SIM",$J$6,0))+(IF(K10="SIM",$K$6,0))</f>
        <v>6.2</v>
      </c>
      <c r="N10" s="66" t="n">
        <f aca="false">H10*12+I10*4+L10*2+M10</f>
        <v>44.2</v>
      </c>
      <c r="O10" s="67" t="n">
        <f aca="false">IF(K10="não", N10*(C$31+D$31),N10*(C$31+D$31)+(M10*+E$31))</f>
        <v>2576.1665864</v>
      </c>
      <c r="P10" s="68"/>
      <c r="Q10" s="23" t="str">
        <f aca="false">B10</f>
        <v>DEPÓSITO NOVO HAMBURGO</v>
      </c>
      <c r="R10" s="25" t="n">
        <f aca="false">H10*($C$31+$D$31)</f>
        <v>106.421384</v>
      </c>
      <c r="S10" s="25" t="n">
        <f aca="false">I10*($C$31+$D$31)</f>
        <v>127.7056608</v>
      </c>
      <c r="T10" s="25" t="n">
        <f aca="false">L10*($C$31+$D$31)</f>
        <v>117.0635224</v>
      </c>
      <c r="U10" s="25" t="n">
        <f aca="false">IF(K10="não",M10*($C$31+$D$31),M10*(C$31+D$31+E$31))</f>
        <v>554.1602904</v>
      </c>
      <c r="V10" s="25" t="n">
        <f aca="false">VLOOKUP(Q10,'Desl. Base Novo Hamburgo'!$C$5:$S$25,13,FALSE())*($C$31+$D$31+$E$31*(VLOOKUP(Q10,'Desl. Base Novo Hamburgo'!$C$5:$S$25,17,FALSE())/12))</f>
        <v>14.9932956444444</v>
      </c>
      <c r="W10" s="25" t="n">
        <f aca="false">VLOOKUP(Q10,'Desl. Base Novo Hamburgo'!$C$5:$S$25,15,FALSE())*(2+(VLOOKUP(Q10,'Desl. Base Novo Hamburgo'!$C$5:$S$25,17,FALSE())/12))</f>
        <v>0</v>
      </c>
      <c r="X10" s="25" t="n">
        <f aca="false">VLOOKUP(Q10,'Desl. Base Novo Hamburgo'!$C$5:$Q$25,14,FALSE())</f>
        <v>0</v>
      </c>
      <c r="Y10" s="25" t="n">
        <f aca="false">VLOOKUP(Q10,'Desl. Base Novo Hamburgo'!$C$5:Q$25,13,FALSE())*'Desl. Base Novo Hamburgo'!$E$30+'Desl. Base Novo Hamburgo'!$E$31*N10/12</f>
        <v>38.16</v>
      </c>
      <c r="Z10" s="25" t="n">
        <f aca="false">(H10/$AC$5)*'Equipe Técnica'!$C$13</f>
        <v>338.72416597939</v>
      </c>
      <c r="AA10" s="25" t="n">
        <f aca="false">(I10/$AC$5)*'Equipe Técnica'!$C$13</f>
        <v>406.468999175268</v>
      </c>
      <c r="AB10" s="25" t="n">
        <f aca="false">(L10/$AC$5)*'Equipe Técnica'!$C$13</f>
        <v>372.596582577329</v>
      </c>
      <c r="AC10" s="25" t="n">
        <f aca="false">(M10/$AC$5)*'Equipe Técnica'!$C$13</f>
        <v>1050.04491453611</v>
      </c>
      <c r="AD10" s="25" t="n">
        <f aca="false">R10+(($V10+$W10+$X10+$Y10)*12/19)+$Z10</f>
        <v>478.716052491671</v>
      </c>
      <c r="AE10" s="25" t="n">
        <f aca="false">S10+(($V10+$W10+$X10+$Y10)*12/19)+$AA10</f>
        <v>567.745162487549</v>
      </c>
      <c r="AF10" s="25" t="n">
        <f aca="false">T10+(($V10+$W10+$X10+$Y10)*12/19)+$AB10</f>
        <v>523.23060748961</v>
      </c>
      <c r="AG10" s="25" t="n">
        <f aca="false">U10+(($V10+$W10+$X10+$Y10)*12/19)+$AC10</f>
        <v>1637.77570744839</v>
      </c>
      <c r="AH10" s="135"/>
      <c r="AI10" s="23" t="str">
        <f aca="false">B10</f>
        <v>DEPÓSITO NOVO HAMBURGO</v>
      </c>
      <c r="AJ10" s="69" t="n">
        <f aca="false">VLOOKUP(AI10,Unidades!D$5:H$35,5,)</f>
        <v>0.2223</v>
      </c>
      <c r="AK10" s="47" t="n">
        <f aca="false">AD10*(1+$AJ10)</f>
        <v>585.134630960569</v>
      </c>
      <c r="AL10" s="47" t="n">
        <f aca="false">AE10*(1+$AJ10)</f>
        <v>693.954912108531</v>
      </c>
      <c r="AM10" s="47" t="n">
        <f aca="false">AF10*(1+$AJ10)</f>
        <v>639.54477153455</v>
      </c>
      <c r="AN10" s="47" t="n">
        <f aca="false">AG10*(1+$AJ10)</f>
        <v>2001.85324721417</v>
      </c>
      <c r="AO10" s="47" t="n">
        <f aca="false">((AK10*12)+(AL10*4)+(AM10*2)+AN10)/12</f>
        <v>1089.86483418702</v>
      </c>
      <c r="AP10" s="47" t="n">
        <f aca="false">AO10*$AP$6</f>
        <v>2873.28001740214</v>
      </c>
      <c r="AQ10" s="47" t="n">
        <f aca="false">AO10+AP10</f>
        <v>3963.14485158916</v>
      </c>
      <c r="AR10" s="70"/>
      <c r="AS10" s="73" t="s">
        <v>72</v>
      </c>
      <c r="AT10" s="47" t="n">
        <f aca="false">(SUM(AT8:AW8))/12</f>
        <v>22788.6130139176</v>
      </c>
      <c r="AU10" s="47"/>
      <c r="AV10" s="72"/>
      <c r="AW10" s="72"/>
    </row>
    <row r="11" customFormat="false" ht="15" hidden="false" customHeight="true" outlineLevel="0" collapsed="false">
      <c r="B11" s="23" t="s">
        <v>135</v>
      </c>
      <c r="C11" s="65" t="n">
        <f aca="false">VLOOKUP($B11,Unidades!$D$5:$N$35,6,FALSE())</f>
        <v>334.4</v>
      </c>
      <c r="D11" s="65" t="n">
        <f aca="false">VLOOKUP($B11,Unidades!$D$5:$N$35,7,FALSE())</f>
        <v>0</v>
      </c>
      <c r="E11" s="65" t="n">
        <f aca="false">VLOOKUP($B11,Unidades!$D$5:$N$35,8,FALSE())</f>
        <v>0</v>
      </c>
      <c r="F11" s="65" t="n">
        <f aca="false">VLOOKUP($B11,Unidades!$D$5:$N$35,9,FALSE())</f>
        <v>334.4</v>
      </c>
      <c r="G11" s="65" t="n">
        <f aca="false">D11+$E$6*E11+$F$6*F11</f>
        <v>33.44</v>
      </c>
      <c r="H11" s="66" t="n">
        <f aca="false">IF(G11&lt;750,1.5,IF(G11&lt;2000,2,IF(G11&lt;4000,3,12)))</f>
        <v>1.5</v>
      </c>
      <c r="I11" s="66" t="n">
        <f aca="false">$I$6*H11</f>
        <v>1.8</v>
      </c>
      <c r="J11" s="66" t="str">
        <f aca="false">VLOOKUP($B11,Unidades!$D$5:$N$35,10,FALSE())</f>
        <v>NÃO</v>
      </c>
      <c r="K11" s="66" t="str">
        <f aca="false">VLOOKUP($B11,Unidades!$D$5:$N$35,11,FALSE())</f>
        <v>NÃO</v>
      </c>
      <c r="L11" s="66" t="n">
        <f aca="false">$L$6*H11+(IF(J11="SIM",$J$6,0))</f>
        <v>1.65</v>
      </c>
      <c r="M11" s="66" t="n">
        <f aca="false">$M$6*H11+(IF(J11="SIM",$J$6,0))+(IF(K11="SIM",$K$6,0))</f>
        <v>1.65</v>
      </c>
      <c r="N11" s="66" t="n">
        <f aca="false">H11*12+I11*4+L11*2+M11</f>
        <v>30.15</v>
      </c>
      <c r="O11" s="67" t="n">
        <f aca="false">IF(K11="não", N11*(C$31+D$31),N11*(C$31+D$31)+(M11*+E$31))</f>
        <v>1604.3023638</v>
      </c>
      <c r="P11" s="68"/>
      <c r="Q11" s="23" t="str">
        <f aca="false">B11</f>
        <v>APS TRÊS COROAS</v>
      </c>
      <c r="R11" s="25" t="n">
        <f aca="false">H11*($C$31+$D$31)</f>
        <v>79.816038</v>
      </c>
      <c r="S11" s="25" t="n">
        <f aca="false">I11*($C$31+$D$31)</f>
        <v>95.7792456</v>
      </c>
      <c r="T11" s="25" t="n">
        <f aca="false">L11*($C$31+$D$31)</f>
        <v>87.7976418</v>
      </c>
      <c r="U11" s="25" t="n">
        <f aca="false">IF(K11="não",M11*($C$31+$D$31),M11*(C$31+D$31+E$31))</f>
        <v>87.7976418</v>
      </c>
      <c r="V11" s="25" t="n">
        <f aca="false">VLOOKUP(Q11,'Desl. Base Novo Hamburgo'!$C$5:$S$25,13,FALSE())*($C$31+$D$31+$E$31*(VLOOKUP(Q11,'Desl. Base Novo Hamburgo'!$C$5:$S$25,17,FALSE())/12))</f>
        <v>102.874004533333</v>
      </c>
      <c r="W11" s="25" t="n">
        <f aca="false">VLOOKUP(Q11,'Desl. Base Novo Hamburgo'!$C$5:$S$25,15,FALSE())*(2+(VLOOKUP(Q11,'Desl. Base Novo Hamburgo'!$C$5:$S$25,17,FALSE())/12))</f>
        <v>0</v>
      </c>
      <c r="X11" s="25" t="n">
        <f aca="false">VLOOKUP(Q11,'Desl. Base Novo Hamburgo'!$C$5:$Q$25,14,FALSE())</f>
        <v>6.5</v>
      </c>
      <c r="Y11" s="25" t="n">
        <f aca="false">VLOOKUP(Q11,'Desl. Base Novo Hamburgo'!$C$5:Q$25,13,FALSE())*'Desl. Base Novo Hamburgo'!$E$30+'Desl. Base Novo Hamburgo'!$E$31*N11/12</f>
        <v>117.962666666667</v>
      </c>
      <c r="Z11" s="25" t="n">
        <f aca="false">(H11/$AC$5)*'Equipe Técnica'!$C$13</f>
        <v>254.043124484543</v>
      </c>
      <c r="AA11" s="25" t="n">
        <f aca="false">(I11/$AC$5)*'Equipe Técnica'!$C$13</f>
        <v>304.851749381451</v>
      </c>
      <c r="AB11" s="25" t="n">
        <f aca="false">(L11/$AC$5)*'Equipe Técnica'!$C$13</f>
        <v>279.447436932997</v>
      </c>
      <c r="AC11" s="25" t="n">
        <f aca="false">(M11/$AC$5)*'Equipe Técnica'!$C$13</f>
        <v>279.447436932997</v>
      </c>
      <c r="AD11" s="25" t="n">
        <f aca="false">R11+(($V11+$W11+$X11+$Y11)*12/19)+$Z11</f>
        <v>477.44021797928</v>
      </c>
      <c r="AE11" s="25" t="n">
        <f aca="false">S11+(($V11+$W11+$X11+$Y11)*12/19)+$AA11</f>
        <v>544.212050476188</v>
      </c>
      <c r="AF11" s="25" t="n">
        <f aca="false">T11+(($V11+$W11+$X11+$Y11)*12/19)+$AB11</f>
        <v>510.826134227734</v>
      </c>
      <c r="AG11" s="25" t="n">
        <f aca="false">U11+(($V11+$W11+$X11+$Y11)*12/19)+$AC11</f>
        <v>510.826134227734</v>
      </c>
      <c r="AH11" s="135"/>
      <c r="AI11" s="23" t="str">
        <f aca="false">B11</f>
        <v>APS TRÊS COROAS</v>
      </c>
      <c r="AJ11" s="69" t="n">
        <f aca="false">VLOOKUP(AI11,Unidades!D$5:H$35,5,)</f>
        <v>0.2223</v>
      </c>
      <c r="AK11" s="47" t="n">
        <f aca="false">AD11*(1+$AJ11)</f>
        <v>583.575178436073</v>
      </c>
      <c r="AL11" s="47" t="n">
        <f aca="false">AE11*(1+$AJ11)</f>
        <v>665.190389297045</v>
      </c>
      <c r="AM11" s="47" t="n">
        <f aca="false">AF11*(1+$AJ11)</f>
        <v>624.382783866559</v>
      </c>
      <c r="AN11" s="47" t="n">
        <f aca="false">AG11*(1+$AJ11)</f>
        <v>624.382783866559</v>
      </c>
      <c r="AO11" s="47" t="n">
        <f aca="false">((AK11*12)+(AL11*4)+(AM11*2)+AN11)/12</f>
        <v>961.401004168395</v>
      </c>
      <c r="AP11" s="47" t="n">
        <f aca="false">AO11*$AP$6</f>
        <v>2534.60264735304</v>
      </c>
      <c r="AQ11" s="47" t="n">
        <f aca="false">AO11+AP11</f>
        <v>3496.00365152144</v>
      </c>
      <c r="AR11" s="70"/>
      <c r="AS11" s="73" t="s">
        <v>88</v>
      </c>
      <c r="AT11" s="47" t="n">
        <f aca="false">AT10*12</f>
        <v>273463.356167011</v>
      </c>
      <c r="AU11" s="47"/>
      <c r="AV11" s="72"/>
      <c r="AW11" s="72"/>
    </row>
    <row r="12" customFormat="false" ht="15" hidden="false" customHeight="true" outlineLevel="0" collapsed="false">
      <c r="B12" s="23" t="s">
        <v>136</v>
      </c>
      <c r="C12" s="65" t="n">
        <f aca="false">VLOOKUP($B12,Unidades!$D$5:$N$35,6,FALSE())</f>
        <v>914.18</v>
      </c>
      <c r="D12" s="65" t="n">
        <f aca="false">VLOOKUP($B12,Unidades!$D$5:$N$35,7,FALSE())</f>
        <v>371.04</v>
      </c>
      <c r="E12" s="65" t="n">
        <f aca="false">VLOOKUP($B12,Unidades!$D$5:$N$35,8,FALSE())</f>
        <v>112.85</v>
      </c>
      <c r="F12" s="65" t="n">
        <f aca="false">VLOOKUP($B12,Unidades!$D$5:$N$35,9,FALSE())</f>
        <v>430.29</v>
      </c>
      <c r="G12" s="65" t="n">
        <f aca="false">D12+$E$6*E12+$F$6*F12</f>
        <v>453.5665</v>
      </c>
      <c r="H12" s="66" t="n">
        <f aca="false">IF(G12&lt;750,1.5,IF(G12&lt;2000,2,IF(G12&lt;4000,3,12)))</f>
        <v>1.5</v>
      </c>
      <c r="I12" s="66" t="n">
        <f aca="false">$I$6*H12</f>
        <v>1.8</v>
      </c>
      <c r="J12" s="66" t="str">
        <f aca="false">VLOOKUP($B12,Unidades!$D$5:$N$35,10,FALSE())</f>
        <v>NÃO</v>
      </c>
      <c r="K12" s="66" t="str">
        <f aca="false">VLOOKUP($B12,Unidades!$D$5:$N$35,11,FALSE())</f>
        <v>SIM</v>
      </c>
      <c r="L12" s="66" t="n">
        <f aca="false">$L$6*H12+(IF(J12="SIM",$J$6,0))</f>
        <v>1.65</v>
      </c>
      <c r="M12" s="66" t="n">
        <f aca="false">$M$6*H12+(IF(J12="SIM",$J$6,0))+(IF(K12="SIM",$K$6,0))</f>
        <v>5.65</v>
      </c>
      <c r="N12" s="66" t="n">
        <f aca="false">H12*12+I12*4+L12*2+M12</f>
        <v>34.15</v>
      </c>
      <c r="O12" s="67" t="n">
        <f aca="false">IF(K12="não", N12*(C$31+D$31),N12*(C$31+D$31)+(M12*+E$31))</f>
        <v>2021.5056318</v>
      </c>
      <c r="P12" s="68"/>
      <c r="Q12" s="23" t="str">
        <f aca="false">B12</f>
        <v>APS DOIS IRMÃOS</v>
      </c>
      <c r="R12" s="25" t="n">
        <f aca="false">H12*($C$31+$D$31)</f>
        <v>79.816038</v>
      </c>
      <c r="S12" s="25" t="n">
        <f aca="false">I12*($C$31+$D$31)</f>
        <v>95.7792456</v>
      </c>
      <c r="T12" s="25" t="n">
        <f aca="false">L12*($C$31+$D$31)</f>
        <v>87.7976418</v>
      </c>
      <c r="U12" s="25" t="n">
        <f aca="false">IF(K12="não",M12*($C$31+$D$31),M12*(C$31+D$31+E$31))</f>
        <v>505.0009098</v>
      </c>
      <c r="V12" s="25" t="n">
        <f aca="false">VLOOKUP(Q12,'Desl. Base Novo Hamburgo'!$C$5:$S$25,13,FALSE())*($C$31+$D$31+$E$31*(VLOOKUP(Q12,'Desl. Base Novo Hamburgo'!$C$5:$S$25,17,FALSE())/12))</f>
        <v>26.7068078666667</v>
      </c>
      <c r="W12" s="25" t="n">
        <f aca="false">VLOOKUP(Q12,'Desl. Base Novo Hamburgo'!$C$5:$S$25,15,FALSE())*(2+(VLOOKUP(Q12,'Desl. Base Novo Hamburgo'!$C$5:$S$25,17,FALSE())/12))</f>
        <v>0</v>
      </c>
      <c r="X12" s="25" t="n">
        <f aca="false">VLOOKUP(Q12,'Desl. Base Novo Hamburgo'!$C$5:$Q$25,14,FALSE())</f>
        <v>0</v>
      </c>
      <c r="Y12" s="25" t="n">
        <f aca="false">VLOOKUP(Q12,'Desl. Base Novo Hamburgo'!$C$5:Q$25,13,FALSE())*'Desl. Base Novo Hamburgo'!$E$30+'Desl. Base Novo Hamburgo'!$E$31*N12/12</f>
        <v>43.6014166666667</v>
      </c>
      <c r="Z12" s="25" t="n">
        <f aca="false">(H12/$AC$5)*'Equipe Técnica'!$C$13</f>
        <v>254.043124484543</v>
      </c>
      <c r="AA12" s="25" t="n">
        <f aca="false">(I12/$AC$5)*'Equipe Técnica'!$C$13</f>
        <v>304.851749381451</v>
      </c>
      <c r="AB12" s="25" t="n">
        <f aca="false">(L12/$AC$5)*'Equipe Técnica'!$C$13</f>
        <v>279.447436932997</v>
      </c>
      <c r="AC12" s="25" t="n">
        <f aca="false">(M12/$AC$5)*'Equipe Técnica'!$C$13</f>
        <v>956.895768891778</v>
      </c>
      <c r="AD12" s="25" t="n">
        <f aca="false">R12+(($V12+$W12+$X12+$Y12)*12/19)+$Z12</f>
        <v>378.264356926648</v>
      </c>
      <c r="AE12" s="25" t="n">
        <f aca="false">S12+(($V12+$W12+$X12+$Y12)*12/19)+$AA12</f>
        <v>445.036189423557</v>
      </c>
      <c r="AF12" s="25" t="n">
        <f aca="false">T12+(($V12+$W12+$X12+$Y12)*12/19)+$AB12</f>
        <v>411.650273175102</v>
      </c>
      <c r="AG12" s="25" t="n">
        <f aca="false">U12+(($V12+$W12+$X12+$Y12)*12/19)+$AC12</f>
        <v>1506.30187313388</v>
      </c>
      <c r="AH12" s="135"/>
      <c r="AI12" s="23" t="str">
        <f aca="false">B12</f>
        <v>APS DOIS IRMÃOS</v>
      </c>
      <c r="AJ12" s="69" t="n">
        <f aca="false">VLOOKUP(AI12,Unidades!D$5:H$35,5,)</f>
        <v>0.2223</v>
      </c>
      <c r="AK12" s="47" t="n">
        <f aca="false">AD12*(1+$AJ12)</f>
        <v>462.352523471442</v>
      </c>
      <c r="AL12" s="47" t="n">
        <f aca="false">AE12*(1+$AJ12)</f>
        <v>543.967734332413</v>
      </c>
      <c r="AM12" s="47" t="n">
        <f aca="false">AF12*(1+$AJ12)</f>
        <v>503.160128901927</v>
      </c>
      <c r="AN12" s="47" t="n">
        <f aca="false">AG12*(1+$AJ12)</f>
        <v>1841.15277953155</v>
      </c>
      <c r="AO12" s="47" t="n">
        <f aca="false">((AK12*12)+(AL12*4)+(AM12*2)+AN12)/12</f>
        <v>880.964521360196</v>
      </c>
      <c r="AP12" s="47" t="n">
        <f aca="false">AO12*$AP$6</f>
        <v>2322.54282904052</v>
      </c>
      <c r="AQ12" s="47" t="n">
        <f aca="false">AO12+AP12</f>
        <v>3203.50735040071</v>
      </c>
      <c r="AR12" s="70"/>
      <c r="AS12" s="73" t="s">
        <v>73</v>
      </c>
      <c r="AT12" s="47" t="n">
        <f aca="false">AP28</f>
        <v>60079.0706730555</v>
      </c>
      <c r="AU12" s="47"/>
      <c r="AV12" s="72"/>
      <c r="AW12" s="72"/>
    </row>
    <row r="13" customFormat="false" ht="15" hidden="false" customHeight="true" outlineLevel="0" collapsed="false">
      <c r="B13" s="23" t="s">
        <v>137</v>
      </c>
      <c r="C13" s="65" t="n">
        <f aca="false">VLOOKUP($B13,Unidades!$D$5:$N$35,6,FALSE())</f>
        <v>1988.85</v>
      </c>
      <c r="D13" s="65" t="n">
        <f aca="false">VLOOKUP($B13,Unidades!$D$5:$N$35,7,FALSE())</f>
        <v>501.54</v>
      </c>
      <c r="E13" s="65" t="n">
        <f aca="false">VLOOKUP($B13,Unidades!$D$5:$N$35,8,FALSE())</f>
        <v>706.74</v>
      </c>
      <c r="F13" s="65" t="n">
        <f aca="false">VLOOKUP($B13,Unidades!$D$5:$N$35,9,FALSE())</f>
        <v>780.57</v>
      </c>
      <c r="G13" s="65" t="n">
        <f aca="false">D13+$E$6*E13+$F$6*F13</f>
        <v>826.956</v>
      </c>
      <c r="H13" s="66" t="n">
        <f aca="false">IF(G13&lt;750,1.5,IF(G13&lt;2000,2,IF(G13&lt;4000,3,12)))</f>
        <v>2</v>
      </c>
      <c r="I13" s="66" t="n">
        <f aca="false">$I$6*H13</f>
        <v>2.4</v>
      </c>
      <c r="J13" s="66" t="str">
        <f aca="false">VLOOKUP($B13,Unidades!$D$5:$N$35,10,FALSE())</f>
        <v>NÃO</v>
      </c>
      <c r="K13" s="66" t="str">
        <f aca="false">VLOOKUP($B13,Unidades!$D$5:$N$35,11,FALSE())</f>
        <v>SIM</v>
      </c>
      <c r="L13" s="66" t="n">
        <f aca="false">$L$6*H13+(IF(J13="SIM",$J$6,0))</f>
        <v>2.2</v>
      </c>
      <c r="M13" s="66" t="n">
        <f aca="false">$M$6*H13+(IF(J13="SIM",$J$6,0))+(IF(K13="SIM",$K$6,0))</f>
        <v>6.2</v>
      </c>
      <c r="N13" s="66" t="n">
        <f aca="false">H13*12+I13*4+L13*2+M13</f>
        <v>44.2</v>
      </c>
      <c r="O13" s="67" t="n">
        <f aca="false">IF(K13="não", N13*(C$31+D$31),N13*(C$31+D$31)+(M13*+E$31))</f>
        <v>2576.1665864</v>
      </c>
      <c r="P13" s="68"/>
      <c r="Q13" s="23" t="str">
        <f aca="false">B13</f>
        <v>APS SAPIRANGA</v>
      </c>
      <c r="R13" s="25" t="n">
        <f aca="false">H13*($C$31+$D$31)</f>
        <v>106.421384</v>
      </c>
      <c r="S13" s="25" t="n">
        <f aca="false">I13*($C$31+$D$31)</f>
        <v>127.7056608</v>
      </c>
      <c r="T13" s="25" t="n">
        <f aca="false">L13*($C$31+$D$31)</f>
        <v>117.0635224</v>
      </c>
      <c r="U13" s="25" t="n">
        <f aca="false">IF(K13="não",M13*($C$31+$D$31),M13*(C$31+D$31+E$31))</f>
        <v>554.1602904</v>
      </c>
      <c r="V13" s="25" t="n">
        <f aca="false">VLOOKUP(Q13,'Desl. Base Novo Hamburgo'!$C$5:$S$25,13,FALSE())*($C$31+$D$31+$E$31*(VLOOKUP(Q13,'Desl. Base Novo Hamburgo'!$C$5:$S$25,17,FALSE())/12))</f>
        <v>26.7068078666667</v>
      </c>
      <c r="W13" s="25" t="n">
        <f aca="false">VLOOKUP(Q13,'Desl. Base Novo Hamburgo'!$C$5:$S$25,15,FALSE())*(2+(VLOOKUP(Q13,'Desl. Base Novo Hamburgo'!$C$5:$S$25,17,FALSE())/12))</f>
        <v>0</v>
      </c>
      <c r="X13" s="25" t="n">
        <f aca="false">VLOOKUP(Q13,'Desl. Base Novo Hamburgo'!$C$5:$Q$25,14,FALSE())</f>
        <v>0</v>
      </c>
      <c r="Y13" s="25" t="n">
        <f aca="false">VLOOKUP(Q13,'Desl. Base Novo Hamburgo'!$C$5:Q$25,13,FALSE())*'Desl. Base Novo Hamburgo'!$E$30+'Desl. Base Novo Hamburgo'!$E$31*N13/12</f>
        <v>49.0954166666667</v>
      </c>
      <c r="Z13" s="25" t="n">
        <f aca="false">(H13/$AC$5)*'Equipe Técnica'!$C$13</f>
        <v>338.72416597939</v>
      </c>
      <c r="AA13" s="25" t="n">
        <f aca="false">(I13/$AC$5)*'Equipe Técnica'!$C$13</f>
        <v>406.468999175268</v>
      </c>
      <c r="AB13" s="25" t="n">
        <f aca="false">(L13/$AC$5)*'Equipe Técnica'!$C$13</f>
        <v>372.596582577329</v>
      </c>
      <c r="AC13" s="25" t="n">
        <f aca="false">(M13/$AC$5)*'Equipe Técnica'!$C$13</f>
        <v>1050.04491453611</v>
      </c>
      <c r="AD13" s="25" t="n">
        <f aca="false">R13+(($V13+$W13+$X13+$Y13)*12/19)+$Z13</f>
        <v>493.020639158338</v>
      </c>
      <c r="AE13" s="25" t="n">
        <f aca="false">S13+(($V13+$W13+$X13+$Y13)*12/19)+$AA13</f>
        <v>582.049749154216</v>
      </c>
      <c r="AF13" s="25" t="n">
        <f aca="false">T13+(($V13+$W13+$X13+$Y13)*12/19)+$AB13</f>
        <v>537.535194156277</v>
      </c>
      <c r="AG13" s="25" t="n">
        <f aca="false">U13+(($V13+$W13+$X13+$Y13)*12/19)+$AC13</f>
        <v>1652.08029411506</v>
      </c>
      <c r="AH13" s="135"/>
      <c r="AI13" s="23" t="str">
        <f aca="false">B13</f>
        <v>APS SAPIRANGA</v>
      </c>
      <c r="AJ13" s="69" t="n">
        <f aca="false">VLOOKUP(AI13,Unidades!D$5:H$35,5,)</f>
        <v>0.2223</v>
      </c>
      <c r="AK13" s="47" t="n">
        <f aca="false">AD13*(1+$AJ13)</f>
        <v>602.619127243236</v>
      </c>
      <c r="AL13" s="47" t="n">
        <f aca="false">AE13*(1+$AJ13)</f>
        <v>711.439408391198</v>
      </c>
      <c r="AM13" s="47" t="n">
        <f aca="false">AF13*(1+$AJ13)</f>
        <v>657.029267817217</v>
      </c>
      <c r="AN13" s="47" t="n">
        <f aca="false">AG13*(1+$AJ13)</f>
        <v>2019.33774349683</v>
      </c>
      <c r="AO13" s="47" t="n">
        <f aca="false">((AK13*12)+(AL13*4)+(AM13*2)+AN13)/12</f>
        <v>1117.54861996791</v>
      </c>
      <c r="AP13" s="47" t="n">
        <f aca="false">AO13*$AP$6</f>
        <v>2946.26454355176</v>
      </c>
      <c r="AQ13" s="47" t="n">
        <f aca="false">AO13+AP13</f>
        <v>4063.81316351967</v>
      </c>
      <c r="AR13" s="70"/>
      <c r="AS13" s="73" t="s">
        <v>91</v>
      </c>
      <c r="AT13" s="47" t="n">
        <f aca="false">AT12*12</f>
        <v>720948.848076666</v>
      </c>
      <c r="AU13" s="47"/>
      <c r="AV13" s="72"/>
      <c r="AW13" s="72"/>
    </row>
    <row r="14" customFormat="false" ht="15" hidden="false" customHeight="true" outlineLevel="0" collapsed="false">
      <c r="B14" s="23" t="s">
        <v>138</v>
      </c>
      <c r="C14" s="65" t="n">
        <f aca="false">VLOOKUP($B14,Unidades!$D$5:$N$35,6,FALSE())</f>
        <v>334.4</v>
      </c>
      <c r="D14" s="65" t="n">
        <f aca="false">VLOOKUP($B14,Unidades!$D$5:$N$35,7,FALSE())</f>
        <v>296</v>
      </c>
      <c r="E14" s="65" t="n">
        <f aca="false">VLOOKUP($B14,Unidades!$D$5:$N$35,8,FALSE())</f>
        <v>38.4</v>
      </c>
      <c r="F14" s="65" t="n">
        <f aca="false">VLOOKUP($B14,Unidades!$D$5:$N$35,9,FALSE())</f>
        <v>0</v>
      </c>
      <c r="G14" s="65" t="n">
        <f aca="false">D14+$E$6*E14+$F$6*F14</f>
        <v>309.44</v>
      </c>
      <c r="H14" s="66" t="n">
        <f aca="false">IF(G14&lt;750,1.5,IF(G14&lt;2000,2,IF(G14&lt;4000,3,12)))</f>
        <v>1.5</v>
      </c>
      <c r="I14" s="66" t="n">
        <f aca="false">$I$6*H14</f>
        <v>1.8</v>
      </c>
      <c r="J14" s="66" t="str">
        <f aca="false">VLOOKUP($B14,Unidades!$D$5:$N$35,10,FALSE())</f>
        <v>NÃO</v>
      </c>
      <c r="K14" s="66" t="str">
        <f aca="false">VLOOKUP($B14,Unidades!$D$5:$N$35,11,FALSE())</f>
        <v>NÃO</v>
      </c>
      <c r="L14" s="66" t="n">
        <f aca="false">$L$6*H14+(IF(J14="SIM",$J$6,0))</f>
        <v>1.65</v>
      </c>
      <c r="M14" s="66" t="n">
        <f aca="false">$M$6*H14+(IF(J14="SIM",$J$6,0))+(IF(K14="SIM",$K$6,0))</f>
        <v>1.65</v>
      </c>
      <c r="N14" s="66" t="n">
        <f aca="false">H14*12+I14*4+L14*2+M14</f>
        <v>30.15</v>
      </c>
      <c r="O14" s="67" t="n">
        <f aca="false">IF(K14="não", N14*(C$31+D$31),N14*(C$31+D$31)+(M14*+E$31))</f>
        <v>1604.3023638</v>
      </c>
      <c r="P14" s="68"/>
      <c r="Q14" s="23" t="str">
        <f aca="false">B14</f>
        <v>APS PORTÃO</v>
      </c>
      <c r="R14" s="25" t="n">
        <f aca="false">H14*($C$31+$D$31)</f>
        <v>79.816038</v>
      </c>
      <c r="S14" s="25" t="n">
        <f aca="false">I14*($C$31+$D$31)</f>
        <v>95.7792456</v>
      </c>
      <c r="T14" s="25" t="n">
        <f aca="false">L14*($C$31+$D$31)</f>
        <v>87.7976418</v>
      </c>
      <c r="U14" s="25" t="n">
        <f aca="false">IF(K14="não",M14*($C$31+$D$31),M14*(C$31+D$31+E$31))</f>
        <v>87.7976418</v>
      </c>
      <c r="V14" s="25" t="n">
        <f aca="false">VLOOKUP(Q14,'Desl. Base Novo Hamburgo'!$C$5:$S$25,13,FALSE())*($C$31+$D$31+$E$31*(VLOOKUP(Q14,'Desl. Base Novo Hamburgo'!$C$5:$S$25,17,FALSE())/12))</f>
        <v>27.6438888444444</v>
      </c>
      <c r="W14" s="25" t="n">
        <f aca="false">VLOOKUP(Q14,'Desl. Base Novo Hamburgo'!$C$5:$S$25,15,FALSE())*(2+(VLOOKUP(Q14,'Desl. Base Novo Hamburgo'!$C$5:$S$25,17,FALSE())/12))</f>
        <v>0</v>
      </c>
      <c r="X14" s="25" t="n">
        <f aca="false">VLOOKUP(Q14,'Desl. Base Novo Hamburgo'!$C$5:$Q$25,14,FALSE())</f>
        <v>0</v>
      </c>
      <c r="Y14" s="25" t="n">
        <f aca="false">VLOOKUP(Q14,'Desl. Base Novo Hamburgo'!$C$5:Q$25,13,FALSE())*'Desl. Base Novo Hamburgo'!$E$30+'Desl. Base Novo Hamburgo'!$E$31*N14/12</f>
        <v>42.2895833333333</v>
      </c>
      <c r="Z14" s="25" t="n">
        <f aca="false">(H14/$AC$5)*'Equipe Técnica'!$C$13</f>
        <v>254.043124484543</v>
      </c>
      <c r="AA14" s="25" t="n">
        <f aca="false">(I14/$AC$5)*'Equipe Técnica'!$C$13</f>
        <v>304.851749381451</v>
      </c>
      <c r="AB14" s="25" t="n">
        <f aca="false">(L14/$AC$5)*'Equipe Técnica'!$C$13</f>
        <v>279.447436932997</v>
      </c>
      <c r="AC14" s="25" t="n">
        <f aca="false">(M14/$AC$5)*'Equipe Técnica'!$C$13</f>
        <v>279.447436932997</v>
      </c>
      <c r="AD14" s="25" t="n">
        <f aca="false">R14+(($V14+$W14+$X14+$Y14)*12/19)+$Z14</f>
        <v>378.027671228402</v>
      </c>
      <c r="AE14" s="25" t="n">
        <f aca="false">S14+(($V14+$W14+$X14+$Y14)*12/19)+$AA14</f>
        <v>444.799503725311</v>
      </c>
      <c r="AF14" s="25" t="n">
        <f aca="false">T14+(($V14+$W14+$X14+$Y14)*12/19)+$AB14</f>
        <v>411.413587476857</v>
      </c>
      <c r="AG14" s="25" t="n">
        <f aca="false">U14+(($V14+$W14+$X14+$Y14)*12/19)+$AC14</f>
        <v>411.413587476857</v>
      </c>
      <c r="AH14" s="135"/>
      <c r="AI14" s="23" t="str">
        <f aca="false">B14</f>
        <v>APS PORTÃO</v>
      </c>
      <c r="AJ14" s="69" t="n">
        <f aca="false">VLOOKUP(AI14,Unidades!D$5:H$35,5,)</f>
        <v>0.2288</v>
      </c>
      <c r="AK14" s="47" t="n">
        <f aca="false">AD14*(1+$AJ14)</f>
        <v>464.520402405461</v>
      </c>
      <c r="AL14" s="47" t="n">
        <f aca="false">AE14*(1+$AJ14)</f>
        <v>546.569630177662</v>
      </c>
      <c r="AM14" s="47" t="n">
        <f aca="false">AF14*(1+$AJ14)</f>
        <v>505.545016291561</v>
      </c>
      <c r="AN14" s="47" t="n">
        <f aca="false">AG14*(1+$AJ14)</f>
        <v>505.545016291561</v>
      </c>
      <c r="AO14" s="47" t="n">
        <f aca="false">((AK14*12)+(AL14*4)+(AM14*2)+AN14)/12</f>
        <v>773.096533204239</v>
      </c>
      <c r="AP14" s="47" t="n">
        <f aca="false">AO14*$AP$6</f>
        <v>2038.16358753845</v>
      </c>
      <c r="AQ14" s="47" t="n">
        <f aca="false">AO14+AP14</f>
        <v>2811.26012074269</v>
      </c>
      <c r="AR14" s="70"/>
      <c r="AS14" s="73" t="s">
        <v>74</v>
      </c>
      <c r="AT14" s="47" t="n">
        <f aca="false">AT10+AT12</f>
        <v>82867.6836869731</v>
      </c>
      <c r="AU14" s="47"/>
      <c r="AV14" s="72"/>
      <c r="AW14" s="72"/>
    </row>
    <row r="15" customFormat="false" ht="15" hidden="false" customHeight="true" outlineLevel="0" collapsed="false">
      <c r="B15" s="23" t="s">
        <v>139</v>
      </c>
      <c r="C15" s="65" t="n">
        <f aca="false">VLOOKUP($B15,Unidades!$D$5:$N$35,6,FALSE())</f>
        <v>2884.09</v>
      </c>
      <c r="D15" s="65" t="n">
        <f aca="false">VLOOKUP($B15,Unidades!$D$5:$N$35,7,FALSE())</f>
        <v>0</v>
      </c>
      <c r="E15" s="65" t="n">
        <f aca="false">VLOOKUP($B15,Unidades!$D$5:$N$35,8,FALSE())</f>
        <v>0</v>
      </c>
      <c r="F15" s="65" t="n">
        <f aca="false">VLOOKUP($B15,Unidades!$D$5:$N$35,9,FALSE())</f>
        <v>2884.09</v>
      </c>
      <c r="G15" s="65" t="n">
        <f aca="false">D15+$E$6*E15+$F$6*F15</f>
        <v>288.409</v>
      </c>
      <c r="H15" s="66" t="n">
        <f aca="false">IF(G15&lt;750,1.5,IF(G15&lt;2000,2,IF(G15&lt;4000,3,12)))</f>
        <v>1.5</v>
      </c>
      <c r="I15" s="66" t="n">
        <f aca="false">$I$6*H15</f>
        <v>1.8</v>
      </c>
      <c r="J15" s="66" t="str">
        <f aca="false">VLOOKUP($B15,Unidades!$D$5:$N$35,10,FALSE())</f>
        <v>NÃO</v>
      </c>
      <c r="K15" s="66" t="str">
        <f aca="false">VLOOKUP($B15,Unidades!$D$5:$N$35,11,FALSE())</f>
        <v>SIM</v>
      </c>
      <c r="L15" s="66" t="n">
        <f aca="false">$L$6*H15+(IF(J15="SIM",$J$6,0))</f>
        <v>1.65</v>
      </c>
      <c r="M15" s="66" t="n">
        <f aca="false">$M$6*H15+(IF(J15="SIM",$J$6,0))+(IF(K15="SIM",$K$6,0))</f>
        <v>5.65</v>
      </c>
      <c r="N15" s="66" t="n">
        <f aca="false">H15*12+I15*4+L15*2+M15</f>
        <v>34.15</v>
      </c>
      <c r="O15" s="67" t="n">
        <f aca="false">IF(K15="não", N15*(C$31+D$31),N15*(C$31+D$31)+(M15*+E$31))</f>
        <v>2021.5056318</v>
      </c>
      <c r="P15" s="68"/>
      <c r="Q15" s="23" t="str">
        <f aca="false">B15</f>
        <v>APS SÃO LEOPOLDO</v>
      </c>
      <c r="R15" s="25" t="n">
        <f aca="false">H15*($C$31+$D$31)</f>
        <v>79.816038</v>
      </c>
      <c r="S15" s="25" t="n">
        <f aca="false">I15*($C$31+$D$31)</f>
        <v>95.7792456</v>
      </c>
      <c r="T15" s="25" t="n">
        <f aca="false">L15*($C$31+$D$31)</f>
        <v>87.7976418</v>
      </c>
      <c r="U15" s="25" t="n">
        <f aca="false">IF(K15="não",M15*($C$31+$D$31),M15*(C$31+D$31+E$31))</f>
        <v>505.0009098</v>
      </c>
      <c r="V15" s="25" t="n">
        <f aca="false">VLOOKUP(Q15,'Desl. Base Novo Hamburgo'!$C$5:$S$25,13,FALSE())*($C$31+$D$31+$E$31*(VLOOKUP(Q15,'Desl. Base Novo Hamburgo'!$C$5:$S$25,17,FALSE())/12))</f>
        <v>27.6438888444444</v>
      </c>
      <c r="W15" s="25" t="n">
        <f aca="false">VLOOKUP(Q15,'Desl. Base Novo Hamburgo'!$C$5:$S$25,15,FALSE())*(2+(VLOOKUP(Q15,'Desl. Base Novo Hamburgo'!$C$5:$S$25,17,FALSE())/12))</f>
        <v>0</v>
      </c>
      <c r="X15" s="25" t="n">
        <f aca="false">VLOOKUP(Q15,'Desl. Base Novo Hamburgo'!$C$5:$Q$25,14,FALSE())</f>
        <v>0</v>
      </c>
      <c r="Y15" s="25" t="n">
        <f aca="false">VLOOKUP(Q15,'Desl. Base Novo Hamburgo'!$C$5:Q$25,13,FALSE())*'Desl. Base Novo Hamburgo'!$E$30+'Desl. Base Novo Hamburgo'!$E$31*N15/12</f>
        <v>44.47625</v>
      </c>
      <c r="Z15" s="25" t="n">
        <f aca="false">(H15/$AC$5)*'Equipe Técnica'!$C$13</f>
        <v>254.043124484543</v>
      </c>
      <c r="AA15" s="25" t="n">
        <f aca="false">(I15/$AC$5)*'Equipe Técnica'!$C$13</f>
        <v>304.851749381451</v>
      </c>
      <c r="AB15" s="25" t="n">
        <f aca="false">(L15/$AC$5)*'Equipe Técnica'!$C$13</f>
        <v>279.447436932997</v>
      </c>
      <c r="AC15" s="25" t="n">
        <f aca="false">(M15/$AC$5)*'Equipe Técnica'!$C$13</f>
        <v>956.895768891778</v>
      </c>
      <c r="AD15" s="25" t="n">
        <f aca="false">R15+(($V15+$W15+$X15+$Y15)*12/19)+$Z15</f>
        <v>379.408723859981</v>
      </c>
      <c r="AE15" s="25" t="n">
        <f aca="false">S15+(($V15+$W15+$X15+$Y15)*12/19)+$AA15</f>
        <v>446.18055635689</v>
      </c>
      <c r="AF15" s="25" t="n">
        <f aca="false">T15+(($V15+$W15+$X15+$Y15)*12/19)+$AB15</f>
        <v>412.794640108436</v>
      </c>
      <c r="AG15" s="25" t="n">
        <f aca="false">U15+(($V15+$W15+$X15+$Y15)*12/19)+$AC15</f>
        <v>1507.44624006722</v>
      </c>
      <c r="AH15" s="135"/>
      <c r="AI15" s="23" t="str">
        <f aca="false">B15</f>
        <v>APS SÃO LEOPOLDO</v>
      </c>
      <c r="AJ15" s="69" t="n">
        <f aca="false">VLOOKUP(AI15,Unidades!D$5:H$35,5,)</f>
        <v>0.2354</v>
      </c>
      <c r="AK15" s="47" t="n">
        <f aca="false">AD15*(1+$AJ15)</f>
        <v>468.721537456621</v>
      </c>
      <c r="AL15" s="47" t="n">
        <f aca="false">AE15*(1+$AJ15)</f>
        <v>551.211459323302</v>
      </c>
      <c r="AM15" s="47" t="n">
        <f aca="false">AF15*(1+$AJ15)</f>
        <v>509.966498389961</v>
      </c>
      <c r="AN15" s="47" t="n">
        <f aca="false">AG15*(1+$AJ15)</f>
        <v>1862.29908497904</v>
      </c>
      <c r="AO15" s="47" t="n">
        <f aca="false">((AK15*12)+(AL15*4)+(AM15*2)+AN15)/12</f>
        <v>892.644697377635</v>
      </c>
      <c r="AP15" s="47" t="n">
        <f aca="false">AO15*$AP$6</f>
        <v>2353.33602035922</v>
      </c>
      <c r="AQ15" s="47" t="n">
        <f aca="false">AO15+AP15</f>
        <v>3245.98071773685</v>
      </c>
      <c r="AR15" s="70"/>
      <c r="AS15" s="73" t="s">
        <v>94</v>
      </c>
      <c r="AT15" s="47" t="n">
        <f aca="false">AT11+AT13</f>
        <v>994412.204243677</v>
      </c>
      <c r="AU15" s="47"/>
      <c r="AV15" s="72"/>
      <c r="AW15" s="72"/>
    </row>
    <row r="16" customFormat="false" ht="15" hidden="false" customHeight="true" outlineLevel="0" collapsed="false">
      <c r="B16" s="23" t="s">
        <v>140</v>
      </c>
      <c r="C16" s="65" t="n">
        <f aca="false">VLOOKUP($B16,Unidades!$D$5:$N$35,6,FALSE())</f>
        <v>2263.27</v>
      </c>
      <c r="D16" s="65" t="n">
        <f aca="false">VLOOKUP($B16,Unidades!$D$5:$N$35,7,FALSE())</f>
        <v>729.05</v>
      </c>
      <c r="E16" s="65" t="n">
        <f aca="false">VLOOKUP($B16,Unidades!$D$5:$N$35,8,FALSE())</f>
        <v>578.15</v>
      </c>
      <c r="F16" s="65" t="n">
        <f aca="false">VLOOKUP($B16,Unidades!$D$5:$N$35,9,FALSE())</f>
        <v>956.07</v>
      </c>
      <c r="G16" s="65" t="n">
        <f aca="false">D16+$E$6*E16+$F$6*F16</f>
        <v>1027.0095</v>
      </c>
      <c r="H16" s="66" t="n">
        <f aca="false">IF(G16&lt;750,1.5,IF(G16&lt;2000,2,IF(G16&lt;4000,3,12)))</f>
        <v>2</v>
      </c>
      <c r="I16" s="66" t="n">
        <f aca="false">$I$6*H16</f>
        <v>2.4</v>
      </c>
      <c r="J16" s="66" t="str">
        <f aca="false">VLOOKUP($B16,Unidades!$D$5:$N$35,10,FALSE())</f>
        <v>NÃO</v>
      </c>
      <c r="K16" s="66" t="str">
        <f aca="false">VLOOKUP($B16,Unidades!$D$5:$N$35,11,FALSE())</f>
        <v>SIM</v>
      </c>
      <c r="L16" s="66" t="n">
        <f aca="false">$L$6*H16+(IF(J16="SIM",$J$6,0))</f>
        <v>2.2</v>
      </c>
      <c r="M16" s="66" t="n">
        <f aca="false">$M$6*H16+(IF(J16="SIM",$J$6,0))+(IF(K16="SIM",$K$6,0))</f>
        <v>6.2</v>
      </c>
      <c r="N16" s="66" t="n">
        <f aca="false">H16*12+I16*4+L16*2+M16</f>
        <v>44.2</v>
      </c>
      <c r="O16" s="67" t="n">
        <f aca="false">IF(K16="não", N16*(C$31+D$31),N16*(C$31+D$31)+(M16*+E$31))</f>
        <v>2576.1665864</v>
      </c>
      <c r="P16" s="68"/>
      <c r="Q16" s="23" t="str">
        <f aca="false">B16</f>
        <v>APS MONTENEGRO</v>
      </c>
      <c r="R16" s="25" t="n">
        <f aca="false">H16*($C$31+$D$31)</f>
        <v>106.421384</v>
      </c>
      <c r="S16" s="25" t="n">
        <f aca="false">I16*($C$31+$D$31)</f>
        <v>127.7056608</v>
      </c>
      <c r="T16" s="25" t="n">
        <f aca="false">L16*($C$31+$D$31)</f>
        <v>117.0635224</v>
      </c>
      <c r="U16" s="25" t="n">
        <f aca="false">IF(K16="não",M16*($C$31+$D$31),M16*(C$31+D$31+E$31))</f>
        <v>554.1602904</v>
      </c>
      <c r="V16" s="25" t="n">
        <f aca="false">VLOOKUP(Q16,'Desl. Base Novo Hamburgo'!$C$5:$S$25,13,FALSE())*($C$31+$D$31+$E$31*(VLOOKUP(Q16,'Desl. Base Novo Hamburgo'!$C$5:$S$25,17,FALSE())/12))</f>
        <v>50.1338323111111</v>
      </c>
      <c r="W16" s="25" t="n">
        <f aca="false">VLOOKUP(Q16,'Desl. Base Novo Hamburgo'!$C$5:$S$25,15,FALSE())*(2+(VLOOKUP(Q16,'Desl. Base Novo Hamburgo'!$C$5:$S$25,17,FALSE())/12))</f>
        <v>0</v>
      </c>
      <c r="X16" s="25" t="n">
        <f aca="false">VLOOKUP(Q16,'Desl. Base Novo Hamburgo'!$C$5:$Q$25,14,FALSE())</f>
        <v>9</v>
      </c>
      <c r="Y16" s="25" t="n">
        <f aca="false">VLOOKUP(Q16,'Desl. Base Novo Hamburgo'!$C$5:Q$25,13,FALSE())*'Desl. Base Novo Hamburgo'!$E$30+'Desl. Base Novo Hamburgo'!$E$31*N16/12</f>
        <v>70.96625</v>
      </c>
      <c r="Z16" s="25" t="n">
        <f aca="false">(H16/$AC$5)*'Equipe Técnica'!$C$13</f>
        <v>338.72416597939</v>
      </c>
      <c r="AA16" s="25" t="n">
        <f aca="false">(I16/$AC$5)*'Equipe Técnica'!$C$13</f>
        <v>406.468999175268</v>
      </c>
      <c r="AB16" s="25" t="n">
        <f aca="false">(L16/$AC$5)*'Equipe Técnica'!$C$13</f>
        <v>372.596582577329</v>
      </c>
      <c r="AC16" s="25" t="n">
        <f aca="false">(M16/$AC$5)*'Equipe Técnica'!$C$13</f>
        <v>1050.04491453611</v>
      </c>
      <c r="AD16" s="25" t="n">
        <f aca="false">R16+(($V16+$W16+$X16+$Y16)*12/19)+$Z16</f>
        <v>527.314023017987</v>
      </c>
      <c r="AE16" s="25" t="n">
        <f aca="false">S16+(($V16+$W16+$X16+$Y16)*12/19)+$AA16</f>
        <v>616.343133013865</v>
      </c>
      <c r="AF16" s="25" t="n">
        <f aca="false">T16+(($V16+$W16+$X16+$Y16)*12/19)+$AB16</f>
        <v>571.828578015926</v>
      </c>
      <c r="AG16" s="25" t="n">
        <f aca="false">U16+(($V16+$W16+$X16+$Y16)*12/19)+$AC16</f>
        <v>1686.37367797471</v>
      </c>
      <c r="AH16" s="135"/>
      <c r="AI16" s="23" t="str">
        <f aca="false">B16</f>
        <v>APS MONTENEGRO</v>
      </c>
      <c r="AJ16" s="69" t="n">
        <f aca="false">VLOOKUP(AI16,Unidades!D$5:H$35,5,)</f>
        <v>0.2354</v>
      </c>
      <c r="AK16" s="47" t="n">
        <f aca="false">AD16*(1+$AJ16)</f>
        <v>651.443744036421</v>
      </c>
      <c r="AL16" s="47" t="n">
        <f aca="false">AE16*(1+$AJ16)</f>
        <v>761.430306525329</v>
      </c>
      <c r="AM16" s="47" t="n">
        <f aca="false">AF16*(1+$AJ16)</f>
        <v>706.437025280875</v>
      </c>
      <c r="AN16" s="47" t="n">
        <f aca="false">AG16*(1+$AJ16)</f>
        <v>2083.34604176995</v>
      </c>
      <c r="AO16" s="47" t="n">
        <f aca="false">((AK16*12)+(AL16*4)+(AM16*2)+AN16)/12</f>
        <v>1196.60552057251</v>
      </c>
      <c r="AP16" s="47" t="n">
        <f aca="false">AO16*$AP$6</f>
        <v>3154.68728150933</v>
      </c>
      <c r="AQ16" s="47" t="n">
        <f aca="false">AO16+AP16</f>
        <v>4351.29280208184</v>
      </c>
      <c r="AR16" s="70"/>
      <c r="AV16" s="72"/>
      <c r="AW16" s="72"/>
    </row>
    <row r="17" customFormat="false" ht="15" hidden="false" customHeight="true" outlineLevel="0" collapsed="false">
      <c r="B17" s="23" t="s">
        <v>141</v>
      </c>
      <c r="C17" s="65" t="n">
        <f aca="false">VLOOKUP($B17,Unidades!$D$5:$N$35,6,FALSE())</f>
        <v>1082.18</v>
      </c>
      <c r="D17" s="65" t="n">
        <f aca="false">VLOOKUP($B17,Unidades!$D$5:$N$35,7,FALSE())</f>
        <v>0</v>
      </c>
      <c r="E17" s="65" t="n">
        <f aca="false">VLOOKUP($B17,Unidades!$D$5:$N$35,8,FALSE())</f>
        <v>0</v>
      </c>
      <c r="F17" s="65" t="n">
        <f aca="false">VLOOKUP($B17,Unidades!$D$5:$N$35,9,FALSE())</f>
        <v>1082.18</v>
      </c>
      <c r="G17" s="65" t="n">
        <f aca="false">D17+$E$6*E17+$F$6*F17</f>
        <v>108.218</v>
      </c>
      <c r="H17" s="66" t="n">
        <f aca="false">IF(G17&lt;750,1.5,IF(G17&lt;2000,2,IF(G17&lt;4000,3,12)))</f>
        <v>1.5</v>
      </c>
      <c r="I17" s="66" t="n">
        <f aca="false">$I$6*H17</f>
        <v>1.8</v>
      </c>
      <c r="J17" s="66" t="str">
        <f aca="false">VLOOKUP($B17,Unidades!$D$5:$N$35,10,FALSE())</f>
        <v>NÃO</v>
      </c>
      <c r="K17" s="66" t="str">
        <f aca="false">VLOOKUP($B17,Unidades!$D$5:$N$35,11,FALSE())</f>
        <v>SIM</v>
      </c>
      <c r="L17" s="66" t="n">
        <f aca="false">$L$6*H17+(IF(J17="SIM",$J$6,0))</f>
        <v>1.65</v>
      </c>
      <c r="M17" s="66" t="n">
        <f aca="false">$M$6*H17+(IF(J17="SIM",$J$6,0))+(IF(K17="SIM",$K$6,0))</f>
        <v>5.65</v>
      </c>
      <c r="N17" s="66" t="n">
        <f aca="false">H17*12+I17*4+L17*2+M17</f>
        <v>34.15</v>
      </c>
      <c r="O17" s="67" t="n">
        <f aca="false">IF(K17="não", N17*(C$31+D$31),N17*(C$31+D$31)+(M17*+E$31))</f>
        <v>2021.5056318</v>
      </c>
      <c r="P17" s="68"/>
      <c r="Q17" s="23" t="str">
        <f aca="false">B17</f>
        <v>APS SÃO SEBASTIÃO DO CAÍ</v>
      </c>
      <c r="R17" s="25" t="n">
        <f aca="false">H17*($C$31+$D$31)</f>
        <v>79.816038</v>
      </c>
      <c r="S17" s="25" t="n">
        <f aca="false">I17*($C$31+$D$31)</f>
        <v>95.7792456</v>
      </c>
      <c r="T17" s="25" t="n">
        <f aca="false">L17*($C$31+$D$31)</f>
        <v>87.7976418</v>
      </c>
      <c r="U17" s="25" t="n">
        <f aca="false">IF(K17="não",M17*($C$31+$D$31),M17*(C$31+D$31+E$31))</f>
        <v>505.0009098</v>
      </c>
      <c r="V17" s="25" t="n">
        <f aca="false">VLOOKUP(Q17,'Desl. Base Novo Hamburgo'!$C$5:$S$25,13,FALSE())*($C$31+$D$31+$E$31*(VLOOKUP(Q17,'Desl. Base Novo Hamburgo'!$C$5:$S$25,17,FALSE())/12))</f>
        <v>50.1338323111111</v>
      </c>
      <c r="W17" s="25" t="n">
        <f aca="false">VLOOKUP(Q17,'Desl. Base Novo Hamburgo'!$C$5:$S$25,15,FALSE())*(2+(VLOOKUP(Q17,'Desl. Base Novo Hamburgo'!$C$5:$S$25,17,FALSE())/12))</f>
        <v>0</v>
      </c>
      <c r="X17" s="25" t="n">
        <f aca="false">VLOOKUP(Q17,'Desl. Base Novo Hamburgo'!$C$5:$Q$25,14,FALSE())</f>
        <v>9</v>
      </c>
      <c r="Y17" s="25" t="n">
        <f aca="false">VLOOKUP(Q17,'Desl. Base Novo Hamburgo'!$C$5:Q$25,13,FALSE())*'Desl. Base Novo Hamburgo'!$E$30+'Desl. Base Novo Hamburgo'!$E$31*N17/12</f>
        <v>65.47225</v>
      </c>
      <c r="Z17" s="25" t="n">
        <f aca="false">(H17/$AC$5)*'Equipe Técnica'!$C$13</f>
        <v>254.043124484543</v>
      </c>
      <c r="AA17" s="25" t="n">
        <f aca="false">(I17/$AC$5)*'Equipe Técnica'!$C$13</f>
        <v>304.851749381451</v>
      </c>
      <c r="AB17" s="25" t="n">
        <f aca="false">(L17/$AC$5)*'Equipe Técnica'!$C$13</f>
        <v>279.447436932997</v>
      </c>
      <c r="AC17" s="25" t="n">
        <f aca="false">(M17/$AC$5)*'Equipe Técnica'!$C$13</f>
        <v>956.895768891778</v>
      </c>
      <c r="AD17" s="25" t="n">
        <f aca="false">R17+(($V17+$W17+$X17+$Y17)*12/19)+$Z17</f>
        <v>412.557740786297</v>
      </c>
      <c r="AE17" s="25" t="n">
        <f aca="false">S17+(($V17+$W17+$X17+$Y17)*12/19)+$AA17</f>
        <v>479.329573283206</v>
      </c>
      <c r="AF17" s="25" t="n">
        <f aca="false">T17+(($V17+$W17+$X17+$Y17)*12/19)+$AB17</f>
        <v>445.943657034751</v>
      </c>
      <c r="AG17" s="25" t="n">
        <f aca="false">U17+(($V17+$W17+$X17+$Y17)*12/19)+$AC17</f>
        <v>1540.59525699353</v>
      </c>
      <c r="AH17" s="135"/>
      <c r="AI17" s="23" t="str">
        <f aca="false">B17</f>
        <v>APS SÃO SEBASTIÃO DO CAÍ</v>
      </c>
      <c r="AJ17" s="69" t="n">
        <f aca="false">VLOOKUP(AI17,Unidades!D$5:H$35,5,)</f>
        <v>0.2354</v>
      </c>
      <c r="AK17" s="47" t="n">
        <f aca="false">AD17*(1+$AJ17)</f>
        <v>509.673832967391</v>
      </c>
      <c r="AL17" s="47" t="n">
        <f aca="false">AE17*(1+$AJ17)</f>
        <v>592.163754834072</v>
      </c>
      <c r="AM17" s="47" t="n">
        <f aca="false">AF17*(1+$AJ17)</f>
        <v>550.918793900732</v>
      </c>
      <c r="AN17" s="47" t="n">
        <f aca="false">AG17*(1+$AJ17)</f>
        <v>1903.25138048981</v>
      </c>
      <c r="AO17" s="47" t="n">
        <f aca="false">((AK17*12)+(AL17*4)+(AM17*2)+AN17)/12</f>
        <v>957.485831936355</v>
      </c>
      <c r="AP17" s="47" t="n">
        <f aca="false">AO17*$AP$6</f>
        <v>2524.28082965039</v>
      </c>
      <c r="AQ17" s="47" t="n">
        <f aca="false">AO17+AP17</f>
        <v>3481.76666158674</v>
      </c>
      <c r="AR17" s="70"/>
      <c r="AV17" s="72"/>
      <c r="AW17" s="72"/>
    </row>
    <row r="18" customFormat="false" ht="15" hidden="false" customHeight="true" outlineLevel="0" collapsed="false">
      <c r="B18" s="23" t="s">
        <v>142</v>
      </c>
      <c r="C18" s="65" t="n">
        <f aca="false">VLOOKUP($B18,Unidades!$D$5:$N$35,6,FALSE())</f>
        <v>1719.85</v>
      </c>
      <c r="D18" s="65" t="n">
        <f aca="false">VLOOKUP($B18,Unidades!$D$5:$N$35,7,FALSE())</f>
        <v>0</v>
      </c>
      <c r="E18" s="65" t="n">
        <f aca="false">VLOOKUP($B18,Unidades!$D$5:$N$35,8,FALSE())</f>
        <v>0</v>
      </c>
      <c r="F18" s="65" t="n">
        <f aca="false">VLOOKUP($B18,Unidades!$D$5:$N$35,9,FALSE())</f>
        <v>1719.85</v>
      </c>
      <c r="G18" s="65" t="n">
        <f aca="false">D18+$E$6*E18+$F$6*F18</f>
        <v>171.985</v>
      </c>
      <c r="H18" s="66" t="n">
        <f aca="false">IF(G18&lt;750,1.5,IF(G18&lt;2000,2,IF(G18&lt;4000,3,12)))</f>
        <v>1.5</v>
      </c>
      <c r="I18" s="66" t="n">
        <f aca="false">$I$6*H18</f>
        <v>1.8</v>
      </c>
      <c r="J18" s="66" t="str">
        <f aca="false">VLOOKUP($B18,Unidades!$D$5:$N$35,10,FALSE())</f>
        <v>NÃO</v>
      </c>
      <c r="K18" s="66" t="str">
        <f aca="false">VLOOKUP($B18,Unidades!$D$5:$N$35,11,FALSE())</f>
        <v>SIM</v>
      </c>
      <c r="L18" s="66" t="n">
        <f aca="false">$L$6*H18+(IF(J18="SIM",$J$6,0))</f>
        <v>1.65</v>
      </c>
      <c r="M18" s="66" t="n">
        <f aca="false">$M$6*H18+(IF(J18="SIM",$J$6,0))+(IF(K18="SIM",$K$6,0))</f>
        <v>5.65</v>
      </c>
      <c r="N18" s="66" t="n">
        <f aca="false">H18*12+I18*4+L18*2+M18</f>
        <v>34.15</v>
      </c>
      <c r="O18" s="67" t="n">
        <f aca="false">IF(K18="não", N18*(C$31+D$31),N18*(C$31+D$31)+(M18*+E$31))</f>
        <v>2021.5056318</v>
      </c>
      <c r="P18" s="68"/>
      <c r="Q18" s="23" t="str">
        <f aca="false">B18</f>
        <v>APS ESTRELA</v>
      </c>
      <c r="R18" s="25" t="n">
        <f aca="false">H18*($C$31+$D$31)</f>
        <v>79.816038</v>
      </c>
      <c r="S18" s="25" t="n">
        <f aca="false">I18*($C$31+$D$31)</f>
        <v>95.7792456</v>
      </c>
      <c r="T18" s="25" t="n">
        <f aca="false">L18*($C$31+$D$31)</f>
        <v>87.7976418</v>
      </c>
      <c r="U18" s="25" t="n">
        <f aca="false">IF(K18="não",M18*($C$31+$D$31),M18*(C$31+D$31+E$31))</f>
        <v>505.0009098</v>
      </c>
      <c r="V18" s="25" t="n">
        <f aca="false">VLOOKUP(Q18,'Desl. Base Novo Hamburgo'!$C$5:$S$25,13,FALSE())*($C$31+$D$31+$E$31*(VLOOKUP(Q18,'Desl. Base Novo Hamburgo'!$C$5:$S$25,17,FALSE())/12))</f>
        <v>89.4912333777778</v>
      </c>
      <c r="W18" s="25" t="n">
        <f aca="false">VLOOKUP(Q18,'Desl. Base Novo Hamburgo'!$C$5:$S$25,15,FALSE())*(2+(VLOOKUP(Q18,'Desl. Base Novo Hamburgo'!$C$5:$S$25,17,FALSE())/12))</f>
        <v>0</v>
      </c>
      <c r="X18" s="25" t="n">
        <f aca="false">VLOOKUP(Q18,'Desl. Base Novo Hamburgo'!$C$5:$Q$25,14,FALSE())</f>
        <v>12.75</v>
      </c>
      <c r="Y18" s="25" t="n">
        <f aca="false">VLOOKUP(Q18,'Desl. Base Novo Hamburgo'!$C$5:Q$25,13,FALSE())*'Desl. Base Novo Hamburgo'!$E$30+'Desl. Base Novo Hamburgo'!$E$31*N18/12</f>
        <v>102.21525</v>
      </c>
      <c r="Z18" s="25" t="n">
        <f aca="false">(H18/$AC$5)*'Equipe Técnica'!$C$13</f>
        <v>254.043124484543</v>
      </c>
      <c r="AA18" s="25" t="n">
        <f aca="false">(I18/$AC$5)*'Equipe Técnica'!$C$13</f>
        <v>304.851749381451</v>
      </c>
      <c r="AB18" s="25" t="n">
        <f aca="false">(L18/$AC$5)*'Equipe Técnica'!$C$13</f>
        <v>279.447436932997</v>
      </c>
      <c r="AC18" s="25" t="n">
        <f aca="false">(M18/$AC$5)*'Equipe Técnica'!$C$13</f>
        <v>956.895768891778</v>
      </c>
      <c r="AD18" s="25" t="n">
        <f aca="false">R18+(($V18+$W18+$X18+$Y18)*12/19)+$Z18</f>
        <v>462.989573038929</v>
      </c>
      <c r="AE18" s="25" t="n">
        <f aca="false">S18+(($V18+$W18+$X18+$Y18)*12/19)+$AA18</f>
        <v>529.761405535837</v>
      </c>
      <c r="AF18" s="25" t="n">
        <f aca="false">T18+(($V18+$W18+$X18+$Y18)*12/19)+$AB18</f>
        <v>496.375489287383</v>
      </c>
      <c r="AG18" s="25" t="n">
        <f aca="false">U18+(($V18+$W18+$X18+$Y18)*12/19)+$AC18</f>
        <v>1591.02708924616</v>
      </c>
      <c r="AH18" s="135"/>
      <c r="AI18" s="23" t="str">
        <f aca="false">B18</f>
        <v>APS ESTRELA</v>
      </c>
      <c r="AJ18" s="69" t="n">
        <f aca="false">VLOOKUP(AI18,Unidades!D$5:H$35,5,)</f>
        <v>0.2288</v>
      </c>
      <c r="AK18" s="47" t="n">
        <f aca="false">AD18*(1+$AJ18)</f>
        <v>568.921587350236</v>
      </c>
      <c r="AL18" s="47" t="n">
        <f aca="false">AE18*(1+$AJ18)</f>
        <v>650.970815122437</v>
      </c>
      <c r="AM18" s="47" t="n">
        <f aca="false">AF18*(1+$AJ18)</f>
        <v>609.946201236336</v>
      </c>
      <c r="AN18" s="47" t="n">
        <f aca="false">AG18*(1+$AJ18)</f>
        <v>1955.05408726569</v>
      </c>
      <c r="AO18" s="47" t="n">
        <f aca="false">((AK18*12)+(AL18*4)+(AM18*2)+AN18)/12</f>
        <v>1050.49073320258</v>
      </c>
      <c r="AP18" s="47" t="n">
        <f aca="false">AO18*$AP$6</f>
        <v>2769.47556935225</v>
      </c>
      <c r="AQ18" s="47" t="n">
        <f aca="false">AO18+AP18</f>
        <v>3819.96630255483</v>
      </c>
      <c r="AR18" s="70"/>
      <c r="AS18" s="136"/>
      <c r="AT18" s="137"/>
      <c r="AU18" s="137"/>
      <c r="AV18" s="72"/>
      <c r="AW18" s="72"/>
    </row>
    <row r="19" customFormat="false" ht="15" hidden="false" customHeight="true" outlineLevel="0" collapsed="false">
      <c r="B19" s="23" t="s">
        <v>143</v>
      </c>
      <c r="C19" s="65" t="n">
        <f aca="false">VLOOKUP($B19,Unidades!$D$5:$N$35,6,FALSE())</f>
        <v>1331.03</v>
      </c>
      <c r="D19" s="65" t="n">
        <f aca="false">VLOOKUP($B19,Unidades!$D$5:$N$35,7,FALSE())</f>
        <v>1145.6</v>
      </c>
      <c r="E19" s="65" t="n">
        <f aca="false">VLOOKUP($B19,Unidades!$D$5:$N$35,8,FALSE())</f>
        <v>185.43</v>
      </c>
      <c r="F19" s="65" t="n">
        <f aca="false">VLOOKUP($B19,Unidades!$D$5:$N$35,9,FALSE())</f>
        <v>0</v>
      </c>
      <c r="G19" s="65" t="n">
        <f aca="false">D19+$E$6*E19+$F$6*F19</f>
        <v>1210.5005</v>
      </c>
      <c r="H19" s="66" t="n">
        <f aca="false">IF(G19&lt;750,1.5,IF(G19&lt;2000,2,IF(G19&lt;4000,3,12)))</f>
        <v>2</v>
      </c>
      <c r="I19" s="66" t="n">
        <f aca="false">$I$6*H19</f>
        <v>2.4</v>
      </c>
      <c r="J19" s="66" t="str">
        <f aca="false">VLOOKUP($B19,Unidades!$D$5:$N$35,10,FALSE())</f>
        <v>SIM</v>
      </c>
      <c r="K19" s="66" t="str">
        <f aca="false">VLOOKUP($B19,Unidades!$D$5:$N$35,11,FALSE())</f>
        <v>NÃO</v>
      </c>
      <c r="L19" s="66" t="n">
        <f aca="false">$L$6*H19+(IF(J19="SIM",$J$6,0))</f>
        <v>4.2</v>
      </c>
      <c r="M19" s="66" t="n">
        <f aca="false">$M$6*H19+(IF(J19="SIM",$J$6,0))+(IF(K19="SIM",$K$6,0))</f>
        <v>4.2</v>
      </c>
      <c r="N19" s="66" t="n">
        <f aca="false">H19*12+I19*4+L19*2+M19</f>
        <v>46.2</v>
      </c>
      <c r="O19" s="67" t="n">
        <f aca="false">IF(K19="não", N19*(C$31+D$31),N19*(C$31+D$31)+(M19*+E$31))</f>
        <v>2458.3339704</v>
      </c>
      <c r="P19" s="68"/>
      <c r="Q19" s="23" t="str">
        <f aca="false">B19</f>
        <v>APS LAJEADO</v>
      </c>
      <c r="R19" s="25" t="n">
        <f aca="false">H19*($C$31+$D$31)</f>
        <v>106.421384</v>
      </c>
      <c r="S19" s="25" t="n">
        <f aca="false">I19*($C$31+$D$31)</f>
        <v>127.7056608</v>
      </c>
      <c r="T19" s="25" t="n">
        <f aca="false">L19*($C$31+$D$31)</f>
        <v>223.4849064</v>
      </c>
      <c r="U19" s="25" t="n">
        <f aca="false">IF(K19="não",M19*($C$31+$D$31),M19*(C$31+D$31+E$31))</f>
        <v>223.4849064</v>
      </c>
      <c r="V19" s="25" t="n">
        <f aca="false">VLOOKUP(Q19,'Desl. Base Novo Hamburgo'!$C$5:$S$25,13,FALSE())*($C$31+$D$31+$E$31*(VLOOKUP(Q19,'Desl. Base Novo Hamburgo'!$C$5:$S$25,17,FALSE())/12))</f>
        <v>89.4912333777778</v>
      </c>
      <c r="W19" s="25" t="n">
        <f aca="false">VLOOKUP(Q19,'Desl. Base Novo Hamburgo'!$C$5:$S$25,15,FALSE())*(2+(VLOOKUP(Q19,'Desl. Base Novo Hamburgo'!$C$5:$S$25,17,FALSE())/12))</f>
        <v>0</v>
      </c>
      <c r="X19" s="25" t="n">
        <f aca="false">VLOOKUP(Q19,'Desl. Base Novo Hamburgo'!$C$5:$Q$25,14,FALSE())</f>
        <v>12.75</v>
      </c>
      <c r="Y19" s="25" t="n">
        <f aca="false">VLOOKUP(Q19,'Desl. Base Novo Hamburgo'!$C$5:Q$25,13,FALSE())*'Desl. Base Novo Hamburgo'!$E$30+'Desl. Base Novo Hamburgo'!$E$31*N19/12</f>
        <v>108.802583333333</v>
      </c>
      <c r="Z19" s="25" t="n">
        <f aca="false">(H19/$AC$5)*'Equipe Técnica'!$C$13</f>
        <v>338.72416597939</v>
      </c>
      <c r="AA19" s="25" t="n">
        <f aca="false">(I19/$AC$5)*'Equipe Técnica'!$C$13</f>
        <v>406.468999175268</v>
      </c>
      <c r="AB19" s="25" t="n">
        <f aca="false">(L19/$AC$5)*'Equipe Técnica'!$C$13</f>
        <v>711.32074855672</v>
      </c>
      <c r="AC19" s="25" t="n">
        <f aca="false">(M19/$AC$5)*'Equipe Técnica'!$C$13</f>
        <v>711.32074855672</v>
      </c>
      <c r="AD19" s="25" t="n">
        <f aca="false">R19+(($V19+$W19+$X19+$Y19)*12/19)+$Z19</f>
        <v>578.436381586408</v>
      </c>
      <c r="AE19" s="25" t="n">
        <f aca="false">S19+(($V19+$W19+$X19+$Y19)*12/19)+$AA19</f>
        <v>667.465491582286</v>
      </c>
      <c r="AF19" s="25" t="n">
        <f aca="false">T19+(($V19+$W19+$X19+$Y19)*12/19)+$AB19</f>
        <v>1068.09648656374</v>
      </c>
      <c r="AG19" s="25" t="n">
        <f aca="false">U19+(($V19+$W19+$X19+$Y19)*12/19)+$AC19</f>
        <v>1068.09648656374</v>
      </c>
      <c r="AH19" s="135"/>
      <c r="AI19" s="23" t="str">
        <f aca="false">B19</f>
        <v>APS LAJEADO</v>
      </c>
      <c r="AJ19" s="69" t="n">
        <f aca="false">VLOOKUP(AI19,Unidades!D$5:H$35,5,)</f>
        <v>0.2288</v>
      </c>
      <c r="AK19" s="47" t="n">
        <f aca="false">AD19*(1+$AJ19)</f>
        <v>710.782625693378</v>
      </c>
      <c r="AL19" s="47" t="n">
        <f aca="false">AE19*(1+$AJ19)</f>
        <v>820.181596056313</v>
      </c>
      <c r="AM19" s="47" t="n">
        <f aca="false">AF19*(1+$AJ19)</f>
        <v>1312.47696268952</v>
      </c>
      <c r="AN19" s="47" t="n">
        <f aca="false">AG19*(1+$AJ19)</f>
        <v>1312.47696268952</v>
      </c>
      <c r="AO19" s="47" t="n">
        <f aca="false">((AK19*12)+(AL19*4)+(AM19*2)+AN19)/12</f>
        <v>1312.29573171786</v>
      </c>
      <c r="AP19" s="47" t="n">
        <f aca="false">AO19*$AP$6</f>
        <v>3459.68874725618</v>
      </c>
      <c r="AQ19" s="47" t="n">
        <f aca="false">AO19+AP19</f>
        <v>4771.98447897405</v>
      </c>
      <c r="AR19" s="70"/>
      <c r="AS19" s="136"/>
      <c r="AT19" s="137"/>
      <c r="AU19" s="137"/>
      <c r="AV19" s="72"/>
      <c r="AW19" s="72"/>
    </row>
    <row r="20" customFormat="false" ht="15" hidden="false" customHeight="true" outlineLevel="0" collapsed="false">
      <c r="B20" s="23" t="s">
        <v>144</v>
      </c>
      <c r="C20" s="65" t="n">
        <f aca="false">VLOOKUP($B20,Unidades!$D$5:$N$35,6,FALSE())</f>
        <v>1832.48</v>
      </c>
      <c r="D20" s="65" t="n">
        <f aca="false">VLOOKUP($B20,Unidades!$D$5:$N$35,7,FALSE())</f>
        <v>657.24</v>
      </c>
      <c r="E20" s="65" t="n">
        <f aca="false">VLOOKUP($B20,Unidades!$D$5:$N$35,8,FALSE())</f>
        <v>198.31</v>
      </c>
      <c r="F20" s="65" t="n">
        <f aca="false">VLOOKUP($B20,Unidades!$D$5:$N$35,9,FALSE())</f>
        <v>976.93</v>
      </c>
      <c r="G20" s="65" t="n">
        <f aca="false">D20+$E$6*E20+$F$6*F20</f>
        <v>824.3415</v>
      </c>
      <c r="H20" s="66" t="n">
        <f aca="false">IF(G20&lt;750,1.5,IF(G20&lt;2000,2,IF(G20&lt;4000,3,12)))</f>
        <v>2</v>
      </c>
      <c r="I20" s="66" t="n">
        <f aca="false">$I$6*H20</f>
        <v>2.4</v>
      </c>
      <c r="J20" s="66" t="str">
        <f aca="false">VLOOKUP($B20,Unidades!$D$5:$N$35,10,FALSE())</f>
        <v>SIM</v>
      </c>
      <c r="K20" s="66" t="str">
        <f aca="false">VLOOKUP($B20,Unidades!$D$5:$N$35,11,FALSE())</f>
        <v>SIM</v>
      </c>
      <c r="L20" s="66" t="n">
        <f aca="false">$L$6*H20+(IF(J20="SIM",$J$6,0))</f>
        <v>4.2</v>
      </c>
      <c r="M20" s="66" t="n">
        <f aca="false">$M$6*H20+(IF(J20="SIM",$J$6,0))+(IF(K20="SIM",$K$6,0))</f>
        <v>8.2</v>
      </c>
      <c r="N20" s="66" t="n">
        <f aca="false">H20*12+I20*4+L20*2+M20</f>
        <v>50.2</v>
      </c>
      <c r="O20" s="67" t="n">
        <f aca="false">IF(K20="não", N20*(C$31+D$31),N20*(C$31+D$31)+(M20*+E$31))</f>
        <v>2967.7707384</v>
      </c>
      <c r="P20" s="68"/>
      <c r="Q20" s="23" t="str">
        <f aca="false">B20</f>
        <v>APS Encantado</v>
      </c>
      <c r="R20" s="25" t="n">
        <f aca="false">H20*($C$31+$D$31)</f>
        <v>106.421384</v>
      </c>
      <c r="S20" s="25" t="n">
        <f aca="false">I20*($C$31+$D$31)</f>
        <v>127.7056608</v>
      </c>
      <c r="T20" s="25" t="n">
        <f aca="false">L20*($C$31+$D$31)</f>
        <v>223.4849064</v>
      </c>
      <c r="U20" s="25" t="n">
        <f aca="false">IF(K20="não",M20*($C$31+$D$31),M20*(C$31+D$31+E$31))</f>
        <v>732.9216744</v>
      </c>
      <c r="V20" s="25" t="n">
        <f aca="false">VLOOKUP(Q20,'Desl. Base Novo Hamburgo'!$C$5:$S$25,13,FALSE())*($C$31+$D$31+$E$31*(VLOOKUP(Q20,'Desl. Base Novo Hamburgo'!$C$5:$S$25,17,FALSE())/12))</f>
        <v>123.226148577778</v>
      </c>
      <c r="W20" s="25" t="n">
        <f aca="false">VLOOKUP(Q20,'Desl. Base Novo Hamburgo'!$C$5:$S$25,15,FALSE())*(2+(VLOOKUP(Q20,'Desl. Base Novo Hamburgo'!$C$5:$S$25,17,FALSE())/12))</f>
        <v>0</v>
      </c>
      <c r="X20" s="25" t="n">
        <f aca="false">VLOOKUP(Q20,'Desl. Base Novo Hamburgo'!$C$5:$Q$25,14,FALSE())</f>
        <v>12.75</v>
      </c>
      <c r="Y20" s="25" t="n">
        <f aca="false">VLOOKUP(Q20,'Desl. Base Novo Hamburgo'!$C$5:Q$25,13,FALSE())*'Desl. Base Novo Hamburgo'!$E$30+'Desl. Base Novo Hamburgo'!$E$31*N20/12</f>
        <v>142.48325</v>
      </c>
      <c r="Z20" s="25" t="n">
        <f aca="false">(H20/$AC$5)*'Equipe Técnica'!$C$13</f>
        <v>338.72416597939</v>
      </c>
      <c r="AA20" s="25" t="n">
        <f aca="false">(I20/$AC$5)*'Equipe Técnica'!$C$13</f>
        <v>406.468999175268</v>
      </c>
      <c r="AB20" s="25" t="n">
        <f aca="false">(L20/$AC$5)*'Equipe Técnica'!$C$13</f>
        <v>711.32074855672</v>
      </c>
      <c r="AC20" s="25" t="n">
        <f aca="false">(M20/$AC$5)*'Equipe Técnica'!$C$13</f>
        <v>1388.7690805155</v>
      </c>
      <c r="AD20" s="25" t="n">
        <f aca="false">R20+(($V20+$W20+$X20+$Y20)*12/19)+$Z20</f>
        <v>621.014643817987</v>
      </c>
      <c r="AE20" s="25" t="n">
        <f aca="false">S20+(($V20+$W20+$X20+$Y20)*12/19)+$AA20</f>
        <v>710.043753813865</v>
      </c>
      <c r="AF20" s="25" t="n">
        <f aca="false">T20+(($V20+$W20+$X20+$Y20)*12/19)+$AB20</f>
        <v>1110.67474879532</v>
      </c>
      <c r="AG20" s="25" t="n">
        <f aca="false">U20+(($V20+$W20+$X20+$Y20)*12/19)+$AC20</f>
        <v>2297.5598487541</v>
      </c>
      <c r="AH20" s="135"/>
      <c r="AI20" s="23" t="str">
        <f aca="false">B20</f>
        <v>APS Encantado</v>
      </c>
      <c r="AJ20" s="69" t="n">
        <f aca="false">VLOOKUP(AI20,Unidades!D$5:H$35,5,)</f>
        <v>0.2288</v>
      </c>
      <c r="AK20" s="47" t="n">
        <f aca="false">AD20*(1+$AJ20)</f>
        <v>763.102794323542</v>
      </c>
      <c r="AL20" s="47" t="n">
        <f aca="false">AE20*(1+$AJ20)</f>
        <v>872.501764686477</v>
      </c>
      <c r="AM20" s="47" t="n">
        <f aca="false">AF20*(1+$AJ20)</f>
        <v>1364.79713131968</v>
      </c>
      <c r="AN20" s="47" t="n">
        <f aca="false">AG20*(1+$AJ20)</f>
        <v>2823.24154214903</v>
      </c>
      <c r="AO20" s="47" t="n">
        <f aca="false">((AK20*12)+(AL20*4)+(AM20*2)+AN20)/12</f>
        <v>1516.6730329514</v>
      </c>
      <c r="AP20" s="47" t="n">
        <f aca="false">AO20*$AP$6</f>
        <v>3998.50163232642</v>
      </c>
      <c r="AQ20" s="47" t="n">
        <f aca="false">AO20+AP20</f>
        <v>5515.17466527782</v>
      </c>
      <c r="AR20" s="70"/>
      <c r="AS20" s="136"/>
      <c r="AT20" s="137"/>
      <c r="AU20" s="137"/>
      <c r="AV20" s="72"/>
      <c r="AW20" s="72"/>
    </row>
    <row r="21" customFormat="false" ht="15" hidden="false" customHeight="true" outlineLevel="0" collapsed="false">
      <c r="B21" s="23" t="s">
        <v>145</v>
      </c>
      <c r="C21" s="65" t="n">
        <f aca="false">VLOOKUP($B21,Unidades!$D$5:$N$35,6,FALSE())</f>
        <v>334.4</v>
      </c>
      <c r="D21" s="65" t="n">
        <f aca="false">VLOOKUP($B21,Unidades!$D$5:$N$35,7,FALSE())</f>
        <v>296</v>
      </c>
      <c r="E21" s="65" t="n">
        <f aca="false">VLOOKUP($B21,Unidades!$D$5:$N$35,8,FALSE())</f>
        <v>38.4</v>
      </c>
      <c r="F21" s="65" t="n">
        <f aca="false">VLOOKUP($B21,Unidades!$D$5:$N$35,9,FALSE())</f>
        <v>0</v>
      </c>
      <c r="G21" s="65" t="n">
        <f aca="false">D21+$E$6*E21+$F$6*F21</f>
        <v>309.44</v>
      </c>
      <c r="H21" s="66" t="n">
        <f aca="false">IF(G21&lt;750,1.5,IF(G21&lt;2000,2,IF(G21&lt;4000,3,12)))</f>
        <v>1.5</v>
      </c>
      <c r="I21" s="66" t="n">
        <f aca="false">$I$6*H21</f>
        <v>1.8</v>
      </c>
      <c r="J21" s="66" t="str">
        <f aca="false">VLOOKUP($B21,Unidades!$D$5:$N$35,10,FALSE())</f>
        <v>NÃO</v>
      </c>
      <c r="K21" s="66" t="str">
        <f aca="false">VLOOKUP($B21,Unidades!$D$5:$N$35,11,FALSE())</f>
        <v>NÃO</v>
      </c>
      <c r="L21" s="66" t="n">
        <f aca="false">$L$6*H21+(IF(J21="SIM",$J$6,0))</f>
        <v>1.65</v>
      </c>
      <c r="M21" s="66" t="n">
        <f aca="false">$M$6*H21+(IF(J21="SIM",$J$6,0))+(IF(K21="SIM",$K$6,0))</f>
        <v>1.65</v>
      </c>
      <c r="N21" s="66" t="n">
        <f aca="false">H21*12+I21*4+L21*2+M21</f>
        <v>30.15</v>
      </c>
      <c r="O21" s="67" t="n">
        <f aca="false">IF(K21="não", N21*(C$31+D$31),N21*(C$31+D$31)+(M21*+E$31))</f>
        <v>1604.3023638</v>
      </c>
      <c r="P21" s="68"/>
      <c r="Q21" s="23" t="str">
        <f aca="false">B21</f>
        <v>APS TEUTÔNIA</v>
      </c>
      <c r="R21" s="25" t="n">
        <f aca="false">H21*($C$31+$D$31)</f>
        <v>79.816038</v>
      </c>
      <c r="S21" s="25" t="n">
        <f aca="false">I21*($C$31+$D$31)</f>
        <v>95.7792456</v>
      </c>
      <c r="T21" s="25" t="n">
        <f aca="false">L21*($C$31+$D$31)</f>
        <v>87.7976418</v>
      </c>
      <c r="U21" s="25" t="n">
        <f aca="false">IF(K21="não",M21*($C$31+$D$31),M21*(C$31+D$31+E$31))</f>
        <v>87.7976418</v>
      </c>
      <c r="V21" s="25" t="n">
        <f aca="false">VLOOKUP(Q21,'Desl. Base Novo Hamburgo'!$C$5:$S$25,13,FALSE())*($C$31+$D$31+$E$31*(VLOOKUP(Q21,'Desl. Base Novo Hamburgo'!$C$5:$S$25,17,FALSE())/12))</f>
        <v>123.226148577778</v>
      </c>
      <c r="W21" s="25" t="n">
        <f aca="false">VLOOKUP(Q21,'Desl. Base Novo Hamburgo'!$C$5:$S$25,15,FALSE())*(2+(VLOOKUP(Q21,'Desl. Base Novo Hamburgo'!$C$5:$S$25,17,FALSE())/12))</f>
        <v>0</v>
      </c>
      <c r="X21" s="25" t="n">
        <f aca="false">VLOOKUP(Q21,'Desl. Base Novo Hamburgo'!$C$5:$Q$25,14,FALSE())</f>
        <v>12.75</v>
      </c>
      <c r="Y21" s="25" t="n">
        <f aca="false">VLOOKUP(Q21,'Desl. Base Novo Hamburgo'!$C$5:Q$25,13,FALSE())*'Desl. Base Novo Hamburgo'!$E$30+'Desl. Base Novo Hamburgo'!$E$31*N21/12</f>
        <v>131.522583333333</v>
      </c>
      <c r="Z21" s="25" t="n">
        <f aca="false">(H21/$AC$5)*'Equipe Técnica'!$C$13</f>
        <v>254.043124484543</v>
      </c>
      <c r="AA21" s="25" t="n">
        <f aca="false">(I21/$AC$5)*'Equipe Técnica'!$C$13</f>
        <v>304.851749381451</v>
      </c>
      <c r="AB21" s="25" t="n">
        <f aca="false">(L21/$AC$5)*'Equipe Técnica'!$C$13</f>
        <v>279.447436932997</v>
      </c>
      <c r="AC21" s="25" t="n">
        <f aca="false">(M21/$AC$5)*'Equipe Técnica'!$C$13</f>
        <v>279.447436932997</v>
      </c>
      <c r="AD21" s="25" t="n">
        <f aca="false">R21+(($V21+$W21+$X21+$Y21)*12/19)+$Z21</f>
        <v>502.80573000735</v>
      </c>
      <c r="AE21" s="25" t="n">
        <f aca="false">S21+(($V21+$W21+$X21+$Y21)*12/19)+$AA21</f>
        <v>569.577562504258</v>
      </c>
      <c r="AF21" s="25" t="n">
        <f aca="false">T21+(($V21+$W21+$X21+$Y21)*12/19)+$AB21</f>
        <v>536.191646255804</v>
      </c>
      <c r="AG21" s="25" t="n">
        <f aca="false">U21+(($V21+$W21+$X21+$Y21)*12/19)+$AC21</f>
        <v>536.191646255804</v>
      </c>
      <c r="AH21" s="135"/>
      <c r="AI21" s="23" t="str">
        <f aca="false">B21</f>
        <v>APS TEUTÔNIA</v>
      </c>
      <c r="AJ21" s="69" t="n">
        <f aca="false">VLOOKUP(AI21,Unidades!D$5:H$35,5,)</f>
        <v>0.2354</v>
      </c>
      <c r="AK21" s="47" t="n">
        <f aca="false">AD21*(1+$AJ21)</f>
        <v>621.16619885108</v>
      </c>
      <c r="AL21" s="47" t="n">
        <f aca="false">AE21*(1+$AJ21)</f>
        <v>703.656120717761</v>
      </c>
      <c r="AM21" s="47" t="n">
        <f aca="false">AF21*(1+$AJ21)</f>
        <v>662.41115978442</v>
      </c>
      <c r="AN21" s="47" t="n">
        <f aca="false">AG21*(1+$AJ21)</f>
        <v>662.41115978442</v>
      </c>
      <c r="AO21" s="47" t="n">
        <f aca="false">((AK21*12)+(AL21*4)+(AM21*2)+AN21)/12</f>
        <v>1021.32102903644</v>
      </c>
      <c r="AP21" s="47" t="n">
        <f aca="false">AO21*$AP$6</f>
        <v>2692.57362200516</v>
      </c>
      <c r="AQ21" s="47" t="n">
        <f aca="false">AO21+AP21</f>
        <v>3713.89465104159</v>
      </c>
      <c r="AR21" s="70"/>
      <c r="AS21" s="136"/>
      <c r="AT21" s="137"/>
      <c r="AU21" s="137"/>
      <c r="AV21" s="72"/>
      <c r="AW21" s="72"/>
    </row>
    <row r="22" customFormat="false" ht="15" hidden="false" customHeight="true" outlineLevel="0" collapsed="false">
      <c r="B22" s="23" t="s">
        <v>146</v>
      </c>
      <c r="C22" s="65" t="n">
        <f aca="false">VLOOKUP($B22,Unidades!$D$5:$N$35,6,FALSE())</f>
        <v>1953.81</v>
      </c>
      <c r="D22" s="65" t="n">
        <f aca="false">VLOOKUP($B22,Unidades!$D$5:$N$35,7,FALSE())</f>
        <v>838.95</v>
      </c>
      <c r="E22" s="65" t="n">
        <f aca="false">VLOOKUP($B22,Unidades!$D$5:$N$35,8,FALSE())</f>
        <v>565.28</v>
      </c>
      <c r="F22" s="65" t="n">
        <f aca="false">VLOOKUP($B22,Unidades!$D$5:$N$35,9,FALSE())</f>
        <v>549.58</v>
      </c>
      <c r="G22" s="65" t="n">
        <f aca="false">D22+$E$6*E22+$F$6*F22</f>
        <v>1091.756</v>
      </c>
      <c r="H22" s="66" t="n">
        <f aca="false">IF(G22&lt;750,1.5,IF(G22&lt;2000,2,IF(G22&lt;4000,3,12)))</f>
        <v>2</v>
      </c>
      <c r="I22" s="66" t="n">
        <f aca="false">$I$6*H22</f>
        <v>2.4</v>
      </c>
      <c r="J22" s="66" t="str">
        <f aca="false">VLOOKUP($B22,Unidades!$D$5:$N$35,10,FALSE())</f>
        <v>NÃO</v>
      </c>
      <c r="K22" s="66" t="str">
        <f aca="false">VLOOKUP($B22,Unidades!$D$5:$N$35,11,FALSE())</f>
        <v>SIM</v>
      </c>
      <c r="L22" s="66" t="n">
        <f aca="false">$L$6*H22+(IF(J22="SIM",$J$6,0))</f>
        <v>2.2</v>
      </c>
      <c r="M22" s="66" t="n">
        <f aca="false">$M$6*H22+(IF(J22="SIM",$J$6,0))+(IF(K22="SIM",$K$6,0))</f>
        <v>6.2</v>
      </c>
      <c r="N22" s="66" t="n">
        <f aca="false">H22*12+I22*4+L22*2+M22</f>
        <v>44.2</v>
      </c>
      <c r="O22" s="67" t="n">
        <f aca="false">IF(K22="não", N22*(C$31+D$31),N22*(C$31+D$31)+(M22*+E$31))</f>
        <v>2576.1665864</v>
      </c>
      <c r="P22" s="68"/>
      <c r="Q22" s="23" t="str">
        <f aca="false">B22</f>
        <v>APS TAQUARA</v>
      </c>
      <c r="R22" s="25" t="n">
        <f aca="false">H22*($C$31+$D$31)</f>
        <v>106.421384</v>
      </c>
      <c r="S22" s="25" t="n">
        <f aca="false">I22*($C$31+$D$31)</f>
        <v>127.7056608</v>
      </c>
      <c r="T22" s="25" t="n">
        <f aca="false">L22*($C$31+$D$31)</f>
        <v>117.0635224</v>
      </c>
      <c r="U22" s="25" t="n">
        <f aca="false">IF(K22="não",M22*($C$31+$D$31),M22*(C$31+D$31+E$31))</f>
        <v>554.1602904</v>
      </c>
      <c r="V22" s="25" t="n">
        <f aca="false">VLOOKUP(Q22,'Desl. Base Novo Hamburgo'!$C$5:$S$25,13,FALSE())*($C$31+$D$31+$E$31*(VLOOKUP(Q22,'Desl. Base Novo Hamburgo'!$C$5:$S$25,17,FALSE())/12))</f>
        <v>72.6237757777778</v>
      </c>
      <c r="W22" s="25" t="n">
        <f aca="false">VLOOKUP(Q22,'Desl. Base Novo Hamburgo'!$C$5:$S$25,15,FALSE())*(2+(VLOOKUP(Q22,'Desl. Base Novo Hamburgo'!$C$5:$S$25,17,FALSE())/12))</f>
        <v>0</v>
      </c>
      <c r="X22" s="25" t="n">
        <f aca="false">VLOOKUP(Q22,'Desl. Base Novo Hamburgo'!$C$5:$Q$25,14,FALSE())</f>
        <v>9.55</v>
      </c>
      <c r="Y22" s="25" t="n">
        <f aca="false">VLOOKUP(Q22,'Desl. Base Novo Hamburgo'!$C$5:Q$25,13,FALSE())*'Desl. Base Novo Hamburgo'!$E$30+'Desl. Base Novo Hamburgo'!$E$31*N22/12</f>
        <v>91.96225</v>
      </c>
      <c r="Z22" s="25" t="n">
        <f aca="false">(H22/$AC$5)*'Equipe Técnica'!$C$13</f>
        <v>338.72416597939</v>
      </c>
      <c r="AA22" s="25" t="n">
        <f aca="false">(I22/$AC$5)*'Equipe Técnica'!$C$13</f>
        <v>406.468999175268</v>
      </c>
      <c r="AB22" s="25" t="n">
        <f aca="false">(L22/$AC$5)*'Equipe Técnica'!$C$13</f>
        <v>372.596582577329</v>
      </c>
      <c r="AC22" s="25" t="n">
        <f aca="false">(M22/$AC$5)*'Equipe Técnica'!$C$13</f>
        <v>1050.04491453611</v>
      </c>
      <c r="AD22" s="25" t="n">
        <f aca="false">R22+(($V22+$W22+$X22+$Y22)*12/19)+$Z22</f>
        <v>555.126197839039</v>
      </c>
      <c r="AE22" s="25" t="n">
        <f aca="false">S22+(($V22+$W22+$X22+$Y22)*12/19)+$AA22</f>
        <v>644.155307834917</v>
      </c>
      <c r="AF22" s="25" t="n">
        <f aca="false">T22+(($V22+$W22+$X22+$Y22)*12/19)+$AB22</f>
        <v>599.640752836978</v>
      </c>
      <c r="AG22" s="25" t="n">
        <f aca="false">U22+(($V22+$W22+$X22+$Y22)*12/19)+$AC22</f>
        <v>1714.18585279576</v>
      </c>
      <c r="AH22" s="135"/>
      <c r="AI22" s="23" t="str">
        <f aca="false">B22</f>
        <v>APS TAQUARA</v>
      </c>
      <c r="AJ22" s="69" t="n">
        <f aca="false">VLOOKUP(AI22,Unidades!D$5:H$35,5,)</f>
        <v>0.2354</v>
      </c>
      <c r="AK22" s="47" t="n">
        <f aca="false">AD22*(1+$AJ22)</f>
        <v>685.802904810349</v>
      </c>
      <c r="AL22" s="47" t="n">
        <f aca="false">AE22*(1+$AJ22)</f>
        <v>795.789467299257</v>
      </c>
      <c r="AM22" s="47" t="n">
        <f aca="false">AF22*(1+$AJ22)</f>
        <v>740.796186054803</v>
      </c>
      <c r="AN22" s="47" t="n">
        <f aca="false">AG22*(1+$AJ22)</f>
        <v>2117.70520254388</v>
      </c>
      <c r="AO22" s="47" t="n">
        <f aca="false">((AK22*12)+(AL22*4)+(AM22*2)+AN22)/12</f>
        <v>1251.00752513123</v>
      </c>
      <c r="AP22" s="47" t="n">
        <f aca="false">AO22*$AP$6</f>
        <v>3298.11074807323</v>
      </c>
      <c r="AQ22" s="47" t="n">
        <f aca="false">AO22+AP22</f>
        <v>4549.11827320446</v>
      </c>
      <c r="AR22" s="70"/>
      <c r="AV22" s="72"/>
      <c r="AW22" s="72"/>
    </row>
    <row r="23" s="138" customFormat="true" ht="15" hidden="false" customHeight="true" outlineLevel="0" collapsed="false">
      <c r="B23" s="23" t="s">
        <v>147</v>
      </c>
      <c r="C23" s="65" t="n">
        <f aca="false">VLOOKUP($B23,Unidades!$D$5:$N$35,6,FALSE())</f>
        <v>357.46</v>
      </c>
      <c r="D23" s="65" t="n">
        <f aca="false">VLOOKUP($B23,Unidades!$D$5:$N$35,7,FALSE())</f>
        <v>307.46</v>
      </c>
      <c r="E23" s="65" t="n">
        <f aca="false">VLOOKUP($B23,Unidades!$D$5:$N$35,8,FALSE())</f>
        <v>50</v>
      </c>
      <c r="F23" s="65" t="n">
        <f aca="false">VLOOKUP($B23,Unidades!$D$5:$N$35,9,FALSE())</f>
        <v>0</v>
      </c>
      <c r="G23" s="65" t="n">
        <f aca="false">D23+$E$6*E23+$F$6*F23</f>
        <v>324.96</v>
      </c>
      <c r="H23" s="66" t="n">
        <f aca="false">IF(G23&lt;750,1.5,IF(G23&lt;2000,2,IF(G23&lt;4000,3,12)))</f>
        <v>1.5</v>
      </c>
      <c r="I23" s="66" t="n">
        <f aca="false">$I$6*H23</f>
        <v>1.8</v>
      </c>
      <c r="J23" s="66" t="str">
        <f aca="false">VLOOKUP($B23,Unidades!$D$5:$N$35,10,FALSE())</f>
        <v>NÃO</v>
      </c>
      <c r="K23" s="66" t="str">
        <f aca="false">VLOOKUP($B23,Unidades!$D$5:$N$35,11,FALSE())</f>
        <v>NÃO</v>
      </c>
      <c r="L23" s="66" t="n">
        <f aca="false">$L$6*H23+(IF(J23="SIM",$J$6,0))</f>
        <v>1.65</v>
      </c>
      <c r="M23" s="66" t="n">
        <f aca="false">$M$6*H23+(IF(J23="SIM",$J$6,0))+(IF(K23="SIM",$K$6,0))</f>
        <v>1.65</v>
      </c>
      <c r="N23" s="66" t="n">
        <f aca="false">H23*12+I23*4+L23*2+M23</f>
        <v>30.15</v>
      </c>
      <c r="O23" s="67" t="n">
        <f aca="false">IF(K23="não", N23*(C$31+D$31),N23*(C$31+D$31)+(M23*+E$31))</f>
        <v>1604.3023638</v>
      </c>
      <c r="P23" s="68"/>
      <c r="Q23" s="23" t="str">
        <f aca="false">B23</f>
        <v>APS SANTO ANTÔNIO DA PATRULHA</v>
      </c>
      <c r="R23" s="25" t="n">
        <f aca="false">H23*($C$31+$D$31)</f>
        <v>79.816038</v>
      </c>
      <c r="S23" s="25" t="n">
        <f aca="false">I23*($C$31+$D$31)</f>
        <v>95.7792456</v>
      </c>
      <c r="T23" s="25" t="n">
        <f aca="false">L23*($C$31+$D$31)</f>
        <v>87.7976418</v>
      </c>
      <c r="U23" s="25" t="n">
        <f aca="false">IF(K23="não",M23*($C$31+$D$31),M23*(C$31+D$31+E$31))</f>
        <v>87.7976418</v>
      </c>
      <c r="V23" s="25" t="n">
        <f aca="false">VLOOKUP(Q23,'Desl. Base Novo Hamburgo'!$C$5:$S$25,13,FALSE())*($C$31+$D$31+$E$31*(VLOOKUP(Q23,'Desl. Base Novo Hamburgo'!$C$5:$S$25,17,FALSE())/12))</f>
        <v>72.6237757777778</v>
      </c>
      <c r="W23" s="25" t="n">
        <f aca="false">VLOOKUP(Q23,'Desl. Base Novo Hamburgo'!$C$5:$S$25,15,FALSE())*(2+(VLOOKUP(Q23,'Desl. Base Novo Hamburgo'!$C$5:$S$25,17,FALSE())/12))</f>
        <v>0</v>
      </c>
      <c r="X23" s="25" t="n">
        <f aca="false">VLOOKUP(Q23,'Desl. Base Novo Hamburgo'!$C$5:$Q$25,14,FALSE())</f>
        <v>9.55</v>
      </c>
      <c r="Y23" s="25" t="n">
        <f aca="false">VLOOKUP(Q23,'Desl. Base Novo Hamburgo'!$C$5:Q$25,13,FALSE())*'Desl. Base Novo Hamburgo'!$E$30+'Desl. Base Novo Hamburgo'!$E$31*N23/12</f>
        <v>84.2815833333333</v>
      </c>
      <c r="Z23" s="25" t="n">
        <f aca="false">(H23/$AC$5)*'Equipe Técnica'!$C$13</f>
        <v>254.043124484543</v>
      </c>
      <c r="AA23" s="25" t="n">
        <f aca="false">(I23/$AC$5)*'Equipe Técnica'!$C$13</f>
        <v>304.851749381451</v>
      </c>
      <c r="AB23" s="25" t="n">
        <f aca="false">(L23/$AC$5)*'Equipe Técnica'!$C$13</f>
        <v>279.447436932997</v>
      </c>
      <c r="AC23" s="25" t="n">
        <f aca="false">(M23/$AC$5)*'Equipe Técnica'!$C$13</f>
        <v>279.447436932997</v>
      </c>
      <c r="AD23" s="25" t="n">
        <f aca="false">R23+(($V23+$W23+$X23+$Y23)*12/19)+$Z23</f>
        <v>438.988862975771</v>
      </c>
      <c r="AE23" s="25" t="n">
        <f aca="false">S23+(($V23+$W23+$X23+$Y23)*12/19)+$AA23</f>
        <v>505.760695472679</v>
      </c>
      <c r="AF23" s="25" t="n">
        <f aca="false">T23+(($V23+$W23+$X23+$Y23)*12/19)+$AB23</f>
        <v>472.374779224225</v>
      </c>
      <c r="AG23" s="25" t="n">
        <f aca="false">U23+(($V23+$W23+$X23+$Y23)*12/19)+$AC23</f>
        <v>472.374779224225</v>
      </c>
      <c r="AH23" s="135"/>
      <c r="AI23" s="23" t="str">
        <f aca="false">B23</f>
        <v>APS SANTO ANTÔNIO DA PATRULHA</v>
      </c>
      <c r="AJ23" s="69" t="n">
        <f aca="false">VLOOKUP(AI23,Unidades!D$5:H$35,5,)</f>
        <v>0.2487</v>
      </c>
      <c r="AK23" s="47" t="n">
        <f aca="false">AD23*(1+$AJ23)</f>
        <v>548.165393197845</v>
      </c>
      <c r="AL23" s="47" t="n">
        <f aca="false">AE23*(1+$AJ23)</f>
        <v>631.543380436735</v>
      </c>
      <c r="AM23" s="47" t="n">
        <f aca="false">AF23*(1+$AJ23)</f>
        <v>589.85438681729</v>
      </c>
      <c r="AN23" s="47" t="n">
        <f aca="false">AG23*(1+$AJ23)</f>
        <v>589.85438681729</v>
      </c>
      <c r="AO23" s="47" t="n">
        <f aca="false">((AK23*12)+(AL23*4)+(AM23*2)+AN23)/12</f>
        <v>906.143450047745</v>
      </c>
      <c r="AP23" s="47" t="n">
        <f aca="false">AO23*$AP$6</f>
        <v>2388.92364103497</v>
      </c>
      <c r="AQ23" s="47" t="n">
        <f aca="false">AO23+AP23</f>
        <v>3295.06709108271</v>
      </c>
      <c r="AR23" s="70"/>
      <c r="AS23" s="17"/>
      <c r="AT23" s="17"/>
      <c r="AU23" s="17"/>
      <c r="AV23" s="70"/>
      <c r="AW23" s="70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customFormat="false" ht="15" hidden="false" customHeight="true" outlineLevel="0" collapsed="false">
      <c r="B24" s="23" t="s">
        <v>148</v>
      </c>
      <c r="C24" s="65" t="n">
        <f aca="false">VLOOKUP($B24,Unidades!$D$5:$N$35,6,FALSE())</f>
        <v>2644.69</v>
      </c>
      <c r="D24" s="65" t="n">
        <f aca="false">VLOOKUP($B24,Unidades!$D$5:$N$35,7,FALSE())</f>
        <v>837.46</v>
      </c>
      <c r="E24" s="65" t="n">
        <f aca="false">VLOOKUP($B24,Unidades!$D$5:$N$35,8,FALSE())</f>
        <v>775.81</v>
      </c>
      <c r="F24" s="65" t="n">
        <f aca="false">VLOOKUP($B24,Unidades!$D$5:$N$35,9,FALSE())</f>
        <v>1031.42</v>
      </c>
      <c r="G24" s="65" t="n">
        <f aca="false">D24+$E$6*E24+$F$6*F24</f>
        <v>1212.1355</v>
      </c>
      <c r="H24" s="66" t="n">
        <f aca="false">IF(G24&lt;750,1.5,IF(G24&lt;2000,2,IF(G24&lt;4000,3,12)))</f>
        <v>2</v>
      </c>
      <c r="I24" s="66" t="n">
        <f aca="false">$I$6*H24</f>
        <v>2.4</v>
      </c>
      <c r="J24" s="66" t="str">
        <f aca="false">VLOOKUP($B24,Unidades!$D$5:$N$35,10,FALSE())</f>
        <v>SIM</v>
      </c>
      <c r="K24" s="66" t="str">
        <f aca="false">VLOOKUP($B24,Unidades!$D$5:$N$35,11,FALSE())</f>
        <v>SIM</v>
      </c>
      <c r="L24" s="66" t="n">
        <f aca="false">$L$6*H24+(IF(J24="SIM",$J$6,0))</f>
        <v>4.2</v>
      </c>
      <c r="M24" s="66" t="n">
        <f aca="false">$M$6*H24+(IF(J24="SIM",$J$6,0))+(IF(K24="SIM",$K$6,0))</f>
        <v>8.2</v>
      </c>
      <c r="N24" s="66" t="n">
        <f aca="false">H24*12+I24*4+L24*2+M24</f>
        <v>50.2</v>
      </c>
      <c r="O24" s="67" t="n">
        <f aca="false">IF(K24="não", N24*(C$31+D$31),N24*(C$31+D$31)+(M24*+E$31))</f>
        <v>2967.7707384</v>
      </c>
      <c r="P24" s="68"/>
      <c r="Q24" s="23" t="str">
        <f aca="false">B24</f>
        <v>APS OSÓRIO</v>
      </c>
      <c r="R24" s="25" t="n">
        <f aca="false">H24*($C$31+$D$31)</f>
        <v>106.421384</v>
      </c>
      <c r="S24" s="25" t="n">
        <f aca="false">I24*($C$31+$D$31)</f>
        <v>127.7056608</v>
      </c>
      <c r="T24" s="25" t="n">
        <f aca="false">L24*($C$31+$D$31)</f>
        <v>223.4849064</v>
      </c>
      <c r="U24" s="25" t="n">
        <f aca="false">IF(K24="não",M24*($C$31+$D$31),M24*(C$31+D$31+E$31))</f>
        <v>732.9216744</v>
      </c>
      <c r="V24" s="25" t="n">
        <f aca="false">VLOOKUP(Q24,'Desl. Base Novo Hamburgo'!$C$5:$S$25,13,FALSE())*($C$31+$D$31+$E$31*(VLOOKUP(Q24,'Desl. Base Novo Hamburgo'!$C$5:$S$25,17,FALSE())/12))</f>
        <v>165.863333066667</v>
      </c>
      <c r="W24" s="25" t="n">
        <f aca="false">VLOOKUP(Q24,'Desl. Base Novo Hamburgo'!$C$5:$S$25,15,FALSE())*(2+(VLOOKUP(Q24,'Desl. Base Novo Hamburgo'!$C$5:$S$25,17,FALSE())/12))</f>
        <v>0</v>
      </c>
      <c r="X24" s="25" t="n">
        <f aca="false">VLOOKUP(Q24,'Desl. Base Novo Hamburgo'!$C$5:$Q$25,14,FALSE())</f>
        <v>22</v>
      </c>
      <c r="Y24" s="25" t="n">
        <f aca="false">VLOOKUP(Q24,'Desl. Base Novo Hamburgo'!$C$5:Q$25,13,FALSE())*'Desl. Base Novo Hamburgo'!$E$30+'Desl. Base Novo Hamburgo'!$E$31*N24/12</f>
        <v>182.288166666667</v>
      </c>
      <c r="Z24" s="25" t="n">
        <f aca="false">(H24/$AC$5)*'Equipe Técnica'!$C$13</f>
        <v>338.72416597939</v>
      </c>
      <c r="AA24" s="25" t="n">
        <f aca="false">(I24/$AC$5)*'Equipe Técnica'!$C$13</f>
        <v>406.468999175268</v>
      </c>
      <c r="AB24" s="25" t="n">
        <f aca="false">(L24/$AC$5)*'Equipe Técnica'!$C$13</f>
        <v>711.32074855672</v>
      </c>
      <c r="AC24" s="25" t="n">
        <f aca="false">(M24/$AC$5)*'Equipe Técnica'!$C$13</f>
        <v>1388.7690805155</v>
      </c>
      <c r="AD24" s="25" t="n">
        <f aca="false">R24+(($V24+$W24+$X24+$Y24)*12/19)+$Z24</f>
        <v>678.925444547811</v>
      </c>
      <c r="AE24" s="25" t="n">
        <f aca="false">S24+(($V24+$W24+$X24+$Y24)*12/19)+$AA24</f>
        <v>767.954554543689</v>
      </c>
      <c r="AF24" s="25" t="n">
        <f aca="false">T24+(($V24+$W24+$X24+$Y24)*12/19)+$AB24</f>
        <v>1168.58554952514</v>
      </c>
      <c r="AG24" s="25" t="n">
        <f aca="false">U24+(($V24+$W24+$X24+$Y24)*12/19)+$AC24</f>
        <v>2355.47064948392</v>
      </c>
      <c r="AH24" s="135"/>
      <c r="AI24" s="23" t="str">
        <f aca="false">B24</f>
        <v>APS OSÓRIO</v>
      </c>
      <c r="AJ24" s="69" t="n">
        <f aca="false">VLOOKUP(AI24,Unidades!D$5:H$35,5,)</f>
        <v>0.2223</v>
      </c>
      <c r="AK24" s="47" t="n">
        <f aca="false">AD24*(1+$AJ24)</f>
        <v>829.85057087079</v>
      </c>
      <c r="AL24" s="47" t="n">
        <f aca="false">AE24*(1+$AJ24)</f>
        <v>938.670852018752</v>
      </c>
      <c r="AM24" s="47" t="n">
        <f aca="false">AF24*(1+$AJ24)</f>
        <v>1428.36211718458</v>
      </c>
      <c r="AN24" s="47" t="n">
        <f aca="false">AG24*(1+$AJ24)</f>
        <v>2879.0917748642</v>
      </c>
      <c r="AO24" s="47" t="n">
        <f aca="false">((AK24*12)+(AL24*4)+(AM24*2)+AN24)/12</f>
        <v>1620.72552231315</v>
      </c>
      <c r="AP24" s="47" t="n">
        <f aca="false">AO24*$AP$6</f>
        <v>4272.82183155286</v>
      </c>
      <c r="AQ24" s="47" t="n">
        <f aca="false">AO24+AP24</f>
        <v>5893.54735386601</v>
      </c>
      <c r="AR24" s="70"/>
      <c r="AV24" s="72"/>
      <c r="AW24" s="72"/>
    </row>
    <row r="25" customFormat="false" ht="15" hidden="false" customHeight="true" outlineLevel="0" collapsed="false">
      <c r="B25" s="23" t="s">
        <v>149</v>
      </c>
      <c r="C25" s="65" t="n">
        <f aca="false">VLOOKUP($B25,Unidades!$D$5:$N$35,6,FALSE())</f>
        <v>1097.56</v>
      </c>
      <c r="D25" s="65" t="n">
        <f aca="false">VLOOKUP($B25,Unidades!$D$5:$N$35,7,FALSE())</f>
        <v>460.43</v>
      </c>
      <c r="E25" s="65" t="n">
        <f aca="false">VLOOKUP($B25,Unidades!$D$5:$N$35,8,FALSE())</f>
        <v>428.32</v>
      </c>
      <c r="F25" s="65" t="n">
        <f aca="false">VLOOKUP($B25,Unidades!$D$5:$N$35,9,FALSE())</f>
        <v>208.81</v>
      </c>
      <c r="G25" s="65" t="n">
        <f aca="false">D25+$E$6*E25+$F$6*F25</f>
        <v>631.223</v>
      </c>
      <c r="H25" s="66" t="n">
        <f aca="false">IF(G25&lt;750,1.5,IF(G25&lt;2000,2,IF(G25&lt;4000,3,12)))</f>
        <v>1.5</v>
      </c>
      <c r="I25" s="66" t="n">
        <f aca="false">$I$6*H25</f>
        <v>1.8</v>
      </c>
      <c r="J25" s="66" t="str">
        <f aca="false">VLOOKUP($B25,Unidades!$D$5:$N$35,10,FALSE())</f>
        <v>NÃO</v>
      </c>
      <c r="K25" s="66" t="str">
        <f aca="false">VLOOKUP($B25,Unidades!$D$5:$N$35,11,FALSE())</f>
        <v>SIM</v>
      </c>
      <c r="L25" s="66" t="n">
        <f aca="false">$L$6*H25+(IF(J25="SIM",$J$6,0))</f>
        <v>1.65</v>
      </c>
      <c r="M25" s="66" t="n">
        <f aca="false">$M$6*H25+(IF(J25="SIM",$J$6,0))+(IF(K25="SIM",$K$6,0))</f>
        <v>5.65</v>
      </c>
      <c r="N25" s="66" t="n">
        <f aca="false">H25*12+I25*4+L25*2+M25</f>
        <v>34.15</v>
      </c>
      <c r="O25" s="67" t="n">
        <f aca="false">IF(K25="não", N25*(C$31+D$31),N25*(C$31+D$31)+(M25*+E$31))</f>
        <v>2021.5056318</v>
      </c>
      <c r="P25" s="68"/>
      <c r="Q25" s="23" t="str">
        <f aca="false">B25</f>
        <v>APS BUTIÁ</v>
      </c>
      <c r="R25" s="25" t="n">
        <f aca="false">H25*($C$31+$D$31)</f>
        <v>79.816038</v>
      </c>
      <c r="S25" s="25" t="n">
        <f aca="false">I25*($C$31+$D$31)</f>
        <v>95.7792456</v>
      </c>
      <c r="T25" s="25" t="n">
        <f aca="false">L25*($C$31+$D$31)</f>
        <v>87.7976418</v>
      </c>
      <c r="U25" s="25" t="n">
        <f aca="false">IF(K25="não",M25*($C$31+$D$31),M25*(C$31+D$31+E$31))</f>
        <v>505.0009098</v>
      </c>
      <c r="V25" s="25" t="n">
        <f aca="false">VLOOKUP(Q25,'Desl. Base Novo Hamburgo'!$C$5:$S$25,13,FALSE())*($C$31+$D$31+$E$31*(VLOOKUP(Q25,'Desl. Base Novo Hamburgo'!$C$5:$S$25,17,FALSE())/12))</f>
        <v>105.890150488889</v>
      </c>
      <c r="W25" s="25" t="n">
        <f aca="false">VLOOKUP(Q25,'Desl. Base Novo Hamburgo'!$C$5:$S$25,15,FALSE())*(2+(VLOOKUP(Q25,'Desl. Base Novo Hamburgo'!$C$5:$S$25,17,FALSE())/12))</f>
        <v>0</v>
      </c>
      <c r="X25" s="25" t="n">
        <f aca="false">VLOOKUP(Q25,'Desl. Base Novo Hamburgo'!$C$5:$Q$25,14,FALSE())</f>
        <v>0</v>
      </c>
      <c r="Y25" s="25" t="n">
        <f aca="false">VLOOKUP(Q25,'Desl. Base Novo Hamburgo'!$C$5:Q$25,13,FALSE())*'Desl. Base Novo Hamburgo'!$E$30+'Desl. Base Novo Hamburgo'!$E$31*N25/12</f>
        <v>117.524833333333</v>
      </c>
      <c r="Z25" s="25" t="n">
        <f aca="false">(H25/$AC$5)*'Equipe Técnica'!$C$13</f>
        <v>254.043124484543</v>
      </c>
      <c r="AA25" s="25" t="n">
        <f aca="false">(I25/$AC$5)*'Equipe Técnica'!$C$13</f>
        <v>304.851749381451</v>
      </c>
      <c r="AB25" s="25" t="n">
        <f aca="false">(L25/$AC$5)*'Equipe Técnica'!$C$13</f>
        <v>279.447436932997</v>
      </c>
      <c r="AC25" s="25" t="n">
        <f aca="false">(M25/$AC$5)*'Equipe Técnica'!$C$13</f>
        <v>956.895768891778</v>
      </c>
      <c r="AD25" s="25" t="n">
        <f aca="false">R25+(($V25+$W25+$X25+$Y25)*12/19)+$Z25</f>
        <v>474.963362793315</v>
      </c>
      <c r="AE25" s="25" t="n">
        <f aca="false">S25+(($V25+$W25+$X25+$Y25)*12/19)+$AA25</f>
        <v>541.735195290223</v>
      </c>
      <c r="AF25" s="25" t="n">
        <f aca="false">T25+(($V25+$W25+$X25+$Y25)*12/19)+$AB25</f>
        <v>508.349279041769</v>
      </c>
      <c r="AG25" s="25" t="n">
        <f aca="false">U25+(($V25+$W25+$X25+$Y25)*12/19)+$AC25</f>
        <v>1603.00087900055</v>
      </c>
      <c r="AH25" s="135"/>
      <c r="AI25" s="23" t="str">
        <f aca="false">B25</f>
        <v>APS BUTIÁ</v>
      </c>
      <c r="AJ25" s="69" t="n">
        <f aca="false">VLOOKUP(AI25,Unidades!D$5:H$35,5,)</f>
        <v>0.2354</v>
      </c>
      <c r="AK25" s="47" t="n">
        <f aca="false">AD25*(1+$AJ25)</f>
        <v>586.769738394861</v>
      </c>
      <c r="AL25" s="47" t="n">
        <f aca="false">AE25*(1+$AJ25)</f>
        <v>669.259660261542</v>
      </c>
      <c r="AM25" s="47" t="n">
        <f aca="false">AF25*(1+$AJ25)</f>
        <v>628.014699328201</v>
      </c>
      <c r="AN25" s="47" t="n">
        <f aca="false">AG25*(1+$AJ25)</f>
        <v>1980.34728591728</v>
      </c>
      <c r="AO25" s="47" t="n">
        <f aca="false">((AK25*12)+(AL25*4)+(AM25*2)+AN25)/12</f>
        <v>1079.55434886318</v>
      </c>
      <c r="AP25" s="47" t="n">
        <f aca="false">AO25*$AP$6</f>
        <v>2846.09782882112</v>
      </c>
      <c r="AQ25" s="47" t="n">
        <f aca="false">AO25+AP25</f>
        <v>3925.6521776843</v>
      </c>
      <c r="AR25" s="70"/>
      <c r="AV25" s="72"/>
      <c r="AW25" s="72"/>
    </row>
    <row r="26" customFormat="false" ht="15" hidden="false" customHeight="true" outlineLevel="0" collapsed="false">
      <c r="B26" s="23" t="s">
        <v>150</v>
      </c>
      <c r="C26" s="65" t="n">
        <f aca="false">VLOOKUP($B26,Unidades!$D$5:$N$35,6,FALSE())</f>
        <v>1460.23</v>
      </c>
      <c r="D26" s="65" t="n">
        <f aca="false">VLOOKUP($B26,Unidades!$D$5:$N$35,7,FALSE())</f>
        <v>628.98</v>
      </c>
      <c r="E26" s="65" t="n">
        <f aca="false">VLOOKUP($B26,Unidades!$D$5:$N$35,8,FALSE())</f>
        <v>552.14</v>
      </c>
      <c r="F26" s="65" t="n">
        <f aca="false">VLOOKUP($B26,Unidades!$D$5:$N$35,9,FALSE())</f>
        <v>279.11</v>
      </c>
      <c r="G26" s="65" t="n">
        <f aca="false">D26+$E$6*E26+$F$6*F26</f>
        <v>850.14</v>
      </c>
      <c r="H26" s="66" t="n">
        <f aca="false">IF(G26&lt;750,1.5,IF(G26&lt;2000,2,IF(G26&lt;4000,3,12)))</f>
        <v>2</v>
      </c>
      <c r="I26" s="66" t="n">
        <f aca="false">$I$6*H26</f>
        <v>2.4</v>
      </c>
      <c r="J26" s="66" t="str">
        <f aca="false">VLOOKUP($B26,Unidades!$D$5:$N$35,10,FALSE())</f>
        <v>NÃO</v>
      </c>
      <c r="K26" s="66" t="str">
        <f aca="false">VLOOKUP($B26,Unidades!$D$5:$N$35,11,FALSE())</f>
        <v>SIM</v>
      </c>
      <c r="L26" s="66" t="n">
        <f aca="false">$L$6*H26+(IF(J26="SIM",$J$6,0))</f>
        <v>2.2</v>
      </c>
      <c r="M26" s="66" t="n">
        <f aca="false">$M$6*H26+(IF(J26="SIM",$J$6,0))+(IF(K26="SIM",$K$6,0))</f>
        <v>6.2</v>
      </c>
      <c r="N26" s="66" t="n">
        <f aca="false">H26*12+I26*4+L26*2+M26</f>
        <v>44.2</v>
      </c>
      <c r="O26" s="67" t="n">
        <f aca="false">IF(K26="não", N26*(C$31+D$31),N26*(C$31+D$31)+(M26*+E$31))</f>
        <v>2576.1665864</v>
      </c>
      <c r="P26" s="68"/>
      <c r="Q26" s="23" t="str">
        <f aca="false">B26</f>
        <v>APS SÃO JERÔNIMO</v>
      </c>
      <c r="R26" s="25" t="n">
        <f aca="false">H26*($C$31+$D$31)</f>
        <v>106.421384</v>
      </c>
      <c r="S26" s="25" t="n">
        <f aca="false">I26*($C$31+$D$31)</f>
        <v>127.7056608</v>
      </c>
      <c r="T26" s="25" t="n">
        <f aca="false">L26*($C$31+$D$31)</f>
        <v>117.0635224</v>
      </c>
      <c r="U26" s="25" t="n">
        <f aca="false">IF(K26="não",M26*($C$31+$D$31),M26*(C$31+D$31+E$31))</f>
        <v>554.1602904</v>
      </c>
      <c r="V26" s="25" t="n">
        <f aca="false">VLOOKUP(Q26,'Desl. Base Novo Hamburgo'!$C$5:$S$25,13,FALSE())*($C$31+$D$31+$E$31*(VLOOKUP(Q26,'Desl. Base Novo Hamburgo'!$C$5:$S$25,17,FALSE())/12))</f>
        <v>105.890150488889</v>
      </c>
      <c r="W26" s="25" t="n">
        <f aca="false">VLOOKUP(Q26,'Desl. Base Novo Hamburgo'!$C$5:$S$25,15,FALSE())*(2+(VLOOKUP(Q26,'Desl. Base Novo Hamburgo'!$C$5:$S$25,17,FALSE())/12))</f>
        <v>0</v>
      </c>
      <c r="X26" s="25" t="n">
        <f aca="false">VLOOKUP(Q26,'Desl. Base Novo Hamburgo'!$C$5:$Q$25,14,FALSE())</f>
        <v>0</v>
      </c>
      <c r="Y26" s="25" t="n">
        <f aca="false">VLOOKUP(Q26,'Desl. Base Novo Hamburgo'!$C$5:Q$25,13,FALSE())*'Desl. Base Novo Hamburgo'!$E$30+'Desl. Base Novo Hamburgo'!$E$31*N26/12</f>
        <v>123.018833333333</v>
      </c>
      <c r="Z26" s="25" t="n">
        <f aca="false">(H26/$AC$5)*'Equipe Técnica'!$C$13</f>
        <v>338.72416597939</v>
      </c>
      <c r="AA26" s="25" t="n">
        <f aca="false">(I26/$AC$5)*'Equipe Técnica'!$C$13</f>
        <v>406.468999175268</v>
      </c>
      <c r="AB26" s="25" t="n">
        <f aca="false">(L26/$AC$5)*'Equipe Técnica'!$C$13</f>
        <v>372.596582577329</v>
      </c>
      <c r="AC26" s="25" t="n">
        <f aca="false">(M26/$AC$5)*'Equipe Técnica'!$C$13</f>
        <v>1050.04491453611</v>
      </c>
      <c r="AD26" s="25" t="n">
        <f aca="false">R26+(($V26+$W26+$X26+$Y26)*12/19)+$Z26</f>
        <v>589.719645025004</v>
      </c>
      <c r="AE26" s="25" t="n">
        <f aca="false">S26+(($V26+$W26+$X26+$Y26)*12/19)+$AA26</f>
        <v>678.748755020882</v>
      </c>
      <c r="AF26" s="25" t="n">
        <f aca="false">T26+(($V26+$W26+$X26+$Y26)*12/19)+$AB26</f>
        <v>634.234200022943</v>
      </c>
      <c r="AG26" s="25" t="n">
        <f aca="false">U26+(($V26+$W26+$X26+$Y26)*12/19)+$AC26</f>
        <v>1748.77929998172</v>
      </c>
      <c r="AH26" s="135"/>
      <c r="AI26" s="23" t="str">
        <f aca="false">B26</f>
        <v>APS SÃO JERÔNIMO</v>
      </c>
      <c r="AJ26" s="69" t="n">
        <f aca="false">VLOOKUP(AI26,Unidades!D$5:H$35,5,)</f>
        <v>0.2354</v>
      </c>
      <c r="AK26" s="47" t="n">
        <f aca="false">AD26*(1+$AJ26)</f>
        <v>728.53964946389</v>
      </c>
      <c r="AL26" s="47" t="n">
        <f aca="false">AE26*(1+$AJ26)</f>
        <v>838.526211952798</v>
      </c>
      <c r="AM26" s="47" t="n">
        <f aca="false">AF26*(1+$AJ26)</f>
        <v>783.532930708344</v>
      </c>
      <c r="AN26" s="47" t="n">
        <f aca="false">AG26*(1+$AJ26)</f>
        <v>2160.44194719742</v>
      </c>
      <c r="AO26" s="47" t="n">
        <f aca="false">((AK26*12)+(AL26*4)+(AM26*2)+AN26)/12</f>
        <v>1318.67403749933</v>
      </c>
      <c r="AP26" s="47" t="n">
        <f aca="false">AO26*$AP$6</f>
        <v>3476.50428068006</v>
      </c>
      <c r="AQ26" s="47" t="n">
        <f aca="false">AO26+AP26</f>
        <v>4795.17831817939</v>
      </c>
      <c r="AR26" s="70"/>
      <c r="AV26" s="70"/>
      <c r="AW26" s="70"/>
    </row>
    <row r="27" customFormat="false" ht="15" hidden="false" customHeight="true" outlineLevel="0" collapsed="false">
      <c r="B27" s="23" t="s">
        <v>151</v>
      </c>
      <c r="C27" s="65" t="n">
        <f aca="false">VLOOKUP($B27,Unidades!$D$5:$N$35,6,FALSE())</f>
        <v>914.18</v>
      </c>
      <c r="D27" s="65" t="n">
        <f aca="false">VLOOKUP($B27,Unidades!$D$5:$N$35,7,FALSE())</f>
        <v>423.72</v>
      </c>
      <c r="E27" s="65" t="n">
        <f aca="false">VLOOKUP($B27,Unidades!$D$5:$N$35,8,FALSE())</f>
        <v>63.03</v>
      </c>
      <c r="F27" s="65" t="n">
        <f aca="false">VLOOKUP($B27,Unidades!$D$5:$N$35,9,FALSE())</f>
        <v>427.43</v>
      </c>
      <c r="G27" s="65" t="n">
        <f aca="false">D27+$E$6*E27+$F$6*F27</f>
        <v>488.5235</v>
      </c>
      <c r="H27" s="66" t="n">
        <f aca="false">IF(G27&lt;750,1.5,IF(G27&lt;2000,2,IF(G27&lt;4000,3,12)))</f>
        <v>1.5</v>
      </c>
      <c r="I27" s="66" t="n">
        <f aca="false">$I$6*H27</f>
        <v>1.8</v>
      </c>
      <c r="J27" s="66" t="str">
        <f aca="false">VLOOKUP($B27,Unidades!$D$5:$N$35,10,FALSE())</f>
        <v>NÃO</v>
      </c>
      <c r="K27" s="66" t="str">
        <f aca="false">VLOOKUP($B27,Unidades!$D$5:$N$35,11,FALSE())</f>
        <v>SIM</v>
      </c>
      <c r="L27" s="66" t="n">
        <f aca="false">$L$6*H27+(IF(J27="SIM",$J$6,0))</f>
        <v>1.65</v>
      </c>
      <c r="M27" s="66" t="n">
        <f aca="false">$M$6*H27+(IF(J27="SIM",$J$6,0))+(IF(K27="SIM",$K$6,0))</f>
        <v>5.65</v>
      </c>
      <c r="N27" s="66" t="n">
        <f aca="false">H27*12+I27*4+L27*2+M27</f>
        <v>34.15</v>
      </c>
      <c r="O27" s="67" t="n">
        <f aca="false">IF(K27="não", N27*(C$31+D$31),N27*(C$31+D$31)+(M27*+E$31))</f>
        <v>2021.5056318</v>
      </c>
      <c r="P27" s="68"/>
      <c r="Q27" s="23" t="str">
        <f aca="false">B27</f>
        <v>APS TAQUARI</v>
      </c>
      <c r="R27" s="25" t="n">
        <f aca="false">H27*($C$31+$D$31)</f>
        <v>79.816038</v>
      </c>
      <c r="S27" s="25" t="n">
        <f aca="false">I27*($C$31+$D$31)</f>
        <v>95.7792456</v>
      </c>
      <c r="T27" s="25" t="n">
        <f aca="false">L27*($C$31+$D$31)</f>
        <v>87.7976418</v>
      </c>
      <c r="U27" s="25" t="n">
        <f aca="false">IF(K27="não",M27*($C$31+$D$31),M27*(C$31+D$31+E$31))</f>
        <v>505.0009098</v>
      </c>
      <c r="V27" s="25" t="n">
        <f aca="false">VLOOKUP(Q27,'Desl. Base Novo Hamburgo'!$C$5:$S$25,13,FALSE())*($C$31+$D$31+$E$31*(VLOOKUP(Q27,'Desl. Base Novo Hamburgo'!$C$5:$S$25,17,FALSE())/12))</f>
        <v>153.681280355556</v>
      </c>
      <c r="W27" s="25" t="n">
        <f aca="false">VLOOKUP(Q27,'Desl. Base Novo Hamburgo'!$C$5:$S$25,15,FALSE())*(2+(VLOOKUP(Q27,'Desl. Base Novo Hamburgo'!$C$5:$S$25,17,FALSE())/12))</f>
        <v>0</v>
      </c>
      <c r="X27" s="25" t="n">
        <f aca="false">VLOOKUP(Q27,'Desl. Base Novo Hamburgo'!$C$5:$Q$25,14,FALSE())</f>
        <v>0</v>
      </c>
      <c r="Y27" s="25" t="n">
        <f aca="false">VLOOKUP(Q27,'Desl. Base Novo Hamburgo'!$C$5:Q$25,13,FALSE())*'Desl. Base Novo Hamburgo'!$E$30+'Desl. Base Novo Hamburgo'!$E$31*N27/12</f>
        <v>162.141333333333</v>
      </c>
      <c r="Z27" s="25" t="n">
        <f aca="false">(H27/$AC$5)*'Equipe Técnica'!$C$13</f>
        <v>254.043124484543</v>
      </c>
      <c r="AA27" s="25" t="n">
        <f aca="false">(I27/$AC$5)*'Equipe Técnica'!$C$13</f>
        <v>304.851749381451</v>
      </c>
      <c r="AB27" s="25" t="n">
        <f aca="false">(L27/$AC$5)*'Equipe Técnica'!$C$13</f>
        <v>279.447436932997</v>
      </c>
      <c r="AC27" s="25" t="n">
        <f aca="false">(M27/$AC$5)*'Equipe Técnica'!$C$13</f>
        <v>956.895768891778</v>
      </c>
      <c r="AD27" s="25" t="n">
        <f aca="false">R27+(($V27+$W27+$X27+$Y27)*12/19)+$Z27</f>
        <v>533.326076393315</v>
      </c>
      <c r="AE27" s="25" t="n">
        <f aca="false">S27+(($V27+$W27+$X27+$Y27)*12/19)+$AA27</f>
        <v>600.097908890223</v>
      </c>
      <c r="AF27" s="25" t="n">
        <f aca="false">T27+(($V27+$W27+$X27+$Y27)*12/19)+$AB27</f>
        <v>566.711992641769</v>
      </c>
      <c r="AG27" s="25" t="n">
        <f aca="false">U27+(($V27+$W27+$X27+$Y27)*12/19)+$AC27</f>
        <v>1661.36359260055</v>
      </c>
      <c r="AH27" s="135"/>
      <c r="AI27" s="23" t="str">
        <f aca="false">B27</f>
        <v>APS TAQUARI</v>
      </c>
      <c r="AJ27" s="69" t="n">
        <f aca="false">VLOOKUP(AI27,Unidades!D$5:H$35,5,)</f>
        <v>0.2223</v>
      </c>
      <c r="AK27" s="47" t="n">
        <f aca="false">AD27*(1+$AJ27)</f>
        <v>651.884463175548</v>
      </c>
      <c r="AL27" s="47" t="n">
        <f aca="false">AE27*(1+$AJ27)</f>
        <v>733.49967403652</v>
      </c>
      <c r="AM27" s="47" t="n">
        <f aca="false">AF27*(1+$AJ27)</f>
        <v>692.692068606034</v>
      </c>
      <c r="AN27" s="47" t="n">
        <f aca="false">AG27*(1+$AJ27)</f>
        <v>2030.68471923565</v>
      </c>
      <c r="AO27" s="47" t="n">
        <f aca="false">((AK27*12)+(AL27*4)+(AM27*2)+AN27)/12</f>
        <v>1181.05675922503</v>
      </c>
      <c r="AP27" s="47" t="n">
        <f aca="false">AO27*$AP$6</f>
        <v>3113.69509250236</v>
      </c>
      <c r="AQ27" s="47" t="n">
        <f aca="false">AO27+AP27</f>
        <v>4294.75185172739</v>
      </c>
      <c r="AR27" s="70"/>
      <c r="AS27" s="70"/>
      <c r="AT27" s="70"/>
      <c r="AU27" s="70"/>
      <c r="AV27" s="70"/>
      <c r="AW27" s="70"/>
    </row>
    <row r="28" customFormat="false" ht="19.5" hidden="false" customHeight="true" outlineLevel="0" collapsed="false">
      <c r="A28" s="138"/>
      <c r="B28" s="139" t="s">
        <v>96</v>
      </c>
      <c r="C28" s="75" t="n">
        <f aca="false">SUM(C7:C27)</f>
        <v>31388.56</v>
      </c>
      <c r="D28" s="75" t="n">
        <f aca="false">SUM(D7:D27)</f>
        <v>8960.38</v>
      </c>
      <c r="E28" s="75" t="n">
        <f aca="false">SUM(E7:E27)</f>
        <v>8978.43</v>
      </c>
      <c r="F28" s="75" t="n">
        <f aca="false">SUM(F7:F27)</f>
        <v>13449.75</v>
      </c>
      <c r="G28" s="75" t="n">
        <f aca="false">SUM(G7:G27)</f>
        <v>13447.8055</v>
      </c>
      <c r="H28" s="76" t="n">
        <f aca="false">SUM(H7:H27)</f>
        <v>36</v>
      </c>
      <c r="I28" s="76" t="n">
        <f aca="false">SUM(I7:I27)</f>
        <v>43.2</v>
      </c>
      <c r="J28" s="76" t="n">
        <f aca="false">COUNTIF(J7:J27,"SIM")</f>
        <v>4</v>
      </c>
      <c r="K28" s="76" t="n">
        <f aca="false">COUNTIF(K7:K27,"SIM")</f>
        <v>14</v>
      </c>
      <c r="L28" s="76" t="n">
        <f aca="false">SUM(L7:L27)</f>
        <v>47.6</v>
      </c>
      <c r="M28" s="76" t="n">
        <f aca="false">SUM(M7:M27)</f>
        <v>103.6</v>
      </c>
      <c r="N28" s="76" t="n">
        <f aca="false">SUM(N7:N27)</f>
        <v>803.6</v>
      </c>
      <c r="O28" s="77" t="n">
        <f aca="false">SUM(O7:O27)</f>
        <v>45905.0935912</v>
      </c>
      <c r="P28" s="140"/>
      <c r="Q28" s="141" t="s">
        <v>96</v>
      </c>
      <c r="R28" s="79" t="n">
        <f aca="false">SUM(R7:R27)</f>
        <v>1915.584912</v>
      </c>
      <c r="S28" s="79" t="n">
        <f aca="false">SUM(S7:S27)</f>
        <v>2298.7018944</v>
      </c>
      <c r="T28" s="79" t="n">
        <f aca="false">SUM(T7:T27)</f>
        <v>2532.8289392</v>
      </c>
      <c r="U28" s="79" t="n">
        <f aca="false">SUM(U7:U27)</f>
        <v>8657.6091912</v>
      </c>
      <c r="V28" s="79" t="n">
        <f aca="false">SUM(V7:V27)</f>
        <v>1454.47902213333</v>
      </c>
      <c r="W28" s="79" t="n">
        <f aca="false">SUM(W7:W27)</f>
        <v>0</v>
      </c>
      <c r="X28" s="79" t="n">
        <f aca="false">SUM(X7:X27)</f>
        <v>116.6</v>
      </c>
      <c r="Y28" s="79" t="n">
        <f aca="false">SUM(Y7:Y27)</f>
        <v>1803.1665</v>
      </c>
      <c r="Z28" s="79" t="n">
        <f aca="false">SUM(Z7:Z27)</f>
        <v>6097.03498762903</v>
      </c>
      <c r="AA28" s="79" t="n">
        <f aca="false">SUM(AA7:AA27)</f>
        <v>7316.44198515483</v>
      </c>
      <c r="AB28" s="79" t="n">
        <f aca="false">SUM(AB7:AB27)</f>
        <v>8061.63515030949</v>
      </c>
      <c r="AC28" s="79" t="n">
        <f aca="false">SUM(AC7:AC27)</f>
        <v>17545.9117977324</v>
      </c>
      <c r="AD28" s="79" t="n">
        <f aca="false">SUM(AD7:AD27)</f>
        <v>10143.7223346606</v>
      </c>
      <c r="AE28" s="79" t="n">
        <f aca="false">SUM(AE7:AE27)</f>
        <v>11746.2463145864</v>
      </c>
      <c r="AF28" s="79" t="n">
        <f aca="false">SUM(AF7:AF27)</f>
        <v>12725.5665245411</v>
      </c>
      <c r="AG28" s="79" t="n">
        <f aca="false">SUM(AG7:AG27)</f>
        <v>28334.623423964</v>
      </c>
      <c r="AH28" s="40"/>
      <c r="AI28" s="76" t="s">
        <v>96</v>
      </c>
      <c r="AJ28" s="76"/>
      <c r="AK28" s="80" t="n">
        <f aca="false">SUM(AK7:AK27)</f>
        <v>12468.6129894367</v>
      </c>
      <c r="AL28" s="80" t="n">
        <f aca="false">SUM(AL7:AL27)</f>
        <v>14438.163926776</v>
      </c>
      <c r="AM28" s="80" t="n">
        <f aca="false">SUM(AM7:AM27)</f>
        <v>15635.5809732153</v>
      </c>
      <c r="AN28" s="80" t="n">
        <f aca="false">SUM(AN7:AN27)</f>
        <v>34816.1826402362</v>
      </c>
      <c r="AO28" s="80" t="n">
        <f aca="false">SUM(AO7:AO27)</f>
        <v>22788.6130139176</v>
      </c>
      <c r="AP28" s="80" t="n">
        <f aca="false">SUM(AP7:AP27)</f>
        <v>60079.0706730555</v>
      </c>
      <c r="AQ28" s="80" t="n">
        <f aca="false">SUM(AQ7:AQ27)</f>
        <v>82867.6836869731</v>
      </c>
      <c r="AR28" s="70"/>
      <c r="AS28" s="70"/>
      <c r="AT28" s="70"/>
      <c r="AU28" s="70"/>
      <c r="AV28" s="70"/>
      <c r="AW28" s="70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  <c r="FH28" s="138"/>
      <c r="FI28" s="138"/>
      <c r="FJ28" s="138"/>
      <c r="FK28" s="138"/>
      <c r="FL28" s="138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  <c r="JF28" s="138"/>
      <c r="JG28" s="138"/>
      <c r="JH28" s="138"/>
      <c r="JI28" s="138"/>
      <c r="JJ28" s="138"/>
      <c r="JK28" s="138"/>
      <c r="JL28" s="138"/>
      <c r="JM28" s="138"/>
      <c r="JN28" s="138"/>
      <c r="JO28" s="138"/>
      <c r="JP28" s="138"/>
      <c r="JQ28" s="138"/>
      <c r="JR28" s="138"/>
      <c r="JS28" s="138"/>
      <c r="JT28" s="138"/>
      <c r="JU28" s="138"/>
      <c r="JV28" s="138"/>
      <c r="JW28" s="138"/>
      <c r="JX28" s="138"/>
      <c r="JY28" s="138"/>
      <c r="JZ28" s="138"/>
      <c r="KA28" s="138"/>
      <c r="KB28" s="138"/>
      <c r="KC28" s="138"/>
      <c r="KD28" s="138"/>
      <c r="KE28" s="138"/>
      <c r="KF28" s="138"/>
      <c r="KG28" s="138"/>
      <c r="KH28" s="138"/>
      <c r="KI28" s="138"/>
      <c r="KJ28" s="138"/>
      <c r="KK28" s="138"/>
      <c r="KL28" s="138"/>
      <c r="KM28" s="138"/>
      <c r="KN28" s="138"/>
      <c r="KO28" s="138"/>
      <c r="KP28" s="138"/>
      <c r="KQ28" s="138"/>
      <c r="KR28" s="138"/>
      <c r="KS28" s="138"/>
      <c r="KT28" s="138"/>
      <c r="KU28" s="138"/>
      <c r="KV28" s="138"/>
      <c r="KW28" s="138"/>
      <c r="KX28" s="138"/>
      <c r="KY28" s="138"/>
      <c r="KZ28" s="138"/>
      <c r="LA28" s="138"/>
      <c r="LB28" s="138"/>
      <c r="LC28" s="138"/>
      <c r="LD28" s="138"/>
      <c r="LE28" s="138"/>
      <c r="LF28" s="138"/>
      <c r="LG28" s="138"/>
      <c r="LH28" s="138"/>
      <c r="LI28" s="138"/>
      <c r="LJ28" s="138"/>
      <c r="LK28" s="138"/>
      <c r="LL28" s="138"/>
      <c r="LM28" s="138"/>
      <c r="LN28" s="138"/>
      <c r="LO28" s="138"/>
      <c r="LP28" s="138"/>
      <c r="LQ28" s="138"/>
      <c r="LR28" s="138"/>
      <c r="LS28" s="138"/>
      <c r="LT28" s="138"/>
      <c r="LU28" s="138"/>
      <c r="LV28" s="138"/>
      <c r="LW28" s="138"/>
      <c r="LX28" s="138"/>
      <c r="LY28" s="138"/>
      <c r="LZ28" s="138"/>
      <c r="MA28" s="138"/>
      <c r="MB28" s="138"/>
      <c r="MC28" s="138"/>
      <c r="MD28" s="138"/>
      <c r="ME28" s="138"/>
      <c r="MF28" s="138"/>
      <c r="MG28" s="138"/>
      <c r="MH28" s="138"/>
      <c r="MI28" s="138"/>
      <c r="MJ28" s="138"/>
      <c r="MK28" s="138"/>
      <c r="ML28" s="138"/>
      <c r="MM28" s="138"/>
      <c r="MN28" s="138"/>
      <c r="MO28" s="138"/>
      <c r="MP28" s="138"/>
      <c r="MQ28" s="138"/>
      <c r="MR28" s="138"/>
      <c r="MS28" s="138"/>
      <c r="MT28" s="138"/>
      <c r="MU28" s="138"/>
      <c r="MV28" s="138"/>
      <c r="MW28" s="138"/>
      <c r="MX28" s="138"/>
      <c r="MY28" s="138"/>
      <c r="MZ28" s="138"/>
      <c r="NA28" s="138"/>
      <c r="NB28" s="138"/>
      <c r="NC28" s="138"/>
      <c r="ND28" s="138"/>
      <c r="NE28" s="138"/>
      <c r="NF28" s="138"/>
      <c r="NG28" s="138"/>
      <c r="NH28" s="138"/>
      <c r="NI28" s="138"/>
      <c r="NJ28" s="138"/>
      <c r="NK28" s="138"/>
      <c r="NL28" s="138"/>
      <c r="NM28" s="138"/>
      <c r="NN28" s="138"/>
      <c r="NO28" s="138"/>
      <c r="NP28" s="138"/>
      <c r="NQ28" s="138"/>
      <c r="NR28" s="138"/>
      <c r="NS28" s="138"/>
      <c r="NT28" s="138"/>
      <c r="NU28" s="138"/>
      <c r="NV28" s="138"/>
      <c r="NW28" s="138"/>
      <c r="NX28" s="138"/>
      <c r="NY28" s="138"/>
      <c r="NZ28" s="138"/>
      <c r="OA28" s="138"/>
      <c r="OB28" s="138"/>
      <c r="OC28" s="138"/>
      <c r="OD28" s="138"/>
      <c r="OE28" s="138"/>
      <c r="OF28" s="138"/>
      <c r="OG28" s="138"/>
      <c r="OH28" s="138"/>
      <c r="OI28" s="138"/>
      <c r="OJ28" s="138"/>
      <c r="OK28" s="138"/>
      <c r="OL28" s="138"/>
      <c r="OM28" s="138"/>
      <c r="ON28" s="138"/>
      <c r="OO28" s="138"/>
      <c r="OP28" s="138"/>
      <c r="OQ28" s="138"/>
      <c r="OR28" s="138"/>
      <c r="OS28" s="138"/>
      <c r="OT28" s="138"/>
      <c r="OU28" s="138"/>
      <c r="OV28" s="138"/>
      <c r="OW28" s="138"/>
      <c r="OX28" s="138"/>
      <c r="OY28" s="138"/>
      <c r="OZ28" s="138"/>
      <c r="PA28" s="138"/>
      <c r="PB28" s="138"/>
      <c r="PC28" s="138"/>
      <c r="PD28" s="138"/>
      <c r="PE28" s="138"/>
      <c r="PF28" s="138"/>
      <c r="PG28" s="138"/>
      <c r="PH28" s="138"/>
      <c r="PI28" s="138"/>
      <c r="PJ28" s="138"/>
      <c r="PK28" s="138"/>
      <c r="PL28" s="138"/>
      <c r="PM28" s="138"/>
      <c r="PN28" s="138"/>
      <c r="PO28" s="138"/>
      <c r="PP28" s="138"/>
      <c r="PQ28" s="138"/>
      <c r="PR28" s="138"/>
      <c r="PS28" s="138"/>
      <c r="PT28" s="138"/>
      <c r="PU28" s="138"/>
      <c r="PV28" s="138"/>
      <c r="PW28" s="138"/>
      <c r="PX28" s="138"/>
      <c r="PY28" s="138"/>
      <c r="PZ28" s="138"/>
      <c r="QA28" s="138"/>
      <c r="QB28" s="138"/>
      <c r="QC28" s="138"/>
      <c r="QD28" s="138"/>
      <c r="QE28" s="138"/>
      <c r="QF28" s="138"/>
      <c r="QG28" s="138"/>
      <c r="QH28" s="138"/>
      <c r="QI28" s="138"/>
      <c r="QJ28" s="138"/>
      <c r="QK28" s="138"/>
      <c r="QL28" s="138"/>
      <c r="QM28" s="138"/>
      <c r="QN28" s="138"/>
      <c r="QO28" s="138"/>
      <c r="QP28" s="138"/>
      <c r="QQ28" s="138"/>
      <c r="QR28" s="138"/>
      <c r="QS28" s="138"/>
      <c r="QT28" s="138"/>
      <c r="QU28" s="138"/>
      <c r="QV28" s="138"/>
      <c r="QW28" s="138"/>
      <c r="QX28" s="138"/>
      <c r="QY28" s="138"/>
      <c r="QZ28" s="138"/>
      <c r="RA28" s="138"/>
      <c r="RB28" s="138"/>
      <c r="RC28" s="138"/>
      <c r="RD28" s="138"/>
      <c r="RE28" s="138"/>
      <c r="RF28" s="138"/>
      <c r="RG28" s="138"/>
      <c r="RH28" s="138"/>
      <c r="RI28" s="138"/>
      <c r="RJ28" s="138"/>
      <c r="RK28" s="138"/>
      <c r="RL28" s="138"/>
      <c r="RM28" s="138"/>
      <c r="RN28" s="138"/>
      <c r="RO28" s="138"/>
      <c r="RP28" s="138"/>
      <c r="RQ28" s="138"/>
      <c r="RR28" s="138"/>
      <c r="RS28" s="138"/>
      <c r="RT28" s="138"/>
      <c r="RU28" s="138"/>
      <c r="RV28" s="138"/>
      <c r="RW28" s="138"/>
      <c r="RX28" s="138"/>
      <c r="RY28" s="138"/>
      <c r="RZ28" s="138"/>
      <c r="SA28" s="138"/>
      <c r="SB28" s="138"/>
      <c r="SC28" s="138"/>
      <c r="SD28" s="138"/>
      <c r="SE28" s="138"/>
      <c r="SF28" s="138"/>
      <c r="SG28" s="138"/>
      <c r="SH28" s="138"/>
      <c r="SI28" s="138"/>
      <c r="SJ28" s="138"/>
      <c r="SK28" s="138"/>
      <c r="SL28" s="138"/>
      <c r="SM28" s="138"/>
      <c r="SN28" s="138"/>
      <c r="SO28" s="138"/>
      <c r="SP28" s="138"/>
      <c r="SQ28" s="138"/>
      <c r="SR28" s="138"/>
      <c r="SS28" s="138"/>
      <c r="ST28" s="138"/>
      <c r="SU28" s="138"/>
      <c r="SV28" s="138"/>
      <c r="SW28" s="138"/>
      <c r="SX28" s="138"/>
      <c r="SY28" s="138"/>
      <c r="SZ28" s="138"/>
      <c r="TA28" s="138"/>
      <c r="TB28" s="138"/>
      <c r="TC28" s="138"/>
      <c r="TD28" s="138"/>
      <c r="TE28" s="138"/>
      <c r="TF28" s="138"/>
      <c r="TG28" s="138"/>
      <c r="TH28" s="138"/>
      <c r="TI28" s="138"/>
      <c r="TJ28" s="138"/>
      <c r="TK28" s="138"/>
      <c r="TL28" s="138"/>
      <c r="TM28" s="138"/>
      <c r="TN28" s="138"/>
      <c r="TO28" s="138"/>
      <c r="TP28" s="138"/>
      <c r="TQ28" s="138"/>
      <c r="TR28" s="138"/>
      <c r="TS28" s="138"/>
      <c r="TT28" s="138"/>
      <c r="TU28" s="138"/>
      <c r="TV28" s="138"/>
      <c r="TW28" s="138"/>
      <c r="TX28" s="138"/>
      <c r="TY28" s="138"/>
      <c r="TZ28" s="138"/>
      <c r="UA28" s="138"/>
      <c r="UB28" s="138"/>
      <c r="UC28" s="138"/>
      <c r="UD28" s="138"/>
      <c r="UE28" s="138"/>
      <c r="UF28" s="138"/>
      <c r="UG28" s="138"/>
      <c r="UH28" s="138"/>
      <c r="UI28" s="138"/>
      <c r="UJ28" s="138"/>
      <c r="UK28" s="138"/>
      <c r="UL28" s="138"/>
      <c r="UM28" s="138"/>
      <c r="UN28" s="138"/>
      <c r="UO28" s="138"/>
      <c r="UP28" s="138"/>
      <c r="UQ28" s="138"/>
      <c r="UR28" s="138"/>
      <c r="US28" s="138"/>
      <c r="UT28" s="138"/>
      <c r="UU28" s="138"/>
      <c r="UV28" s="138"/>
      <c r="UW28" s="138"/>
      <c r="UX28" s="138"/>
      <c r="UY28" s="138"/>
      <c r="UZ28" s="138"/>
      <c r="VA28" s="138"/>
      <c r="VB28" s="138"/>
      <c r="VC28" s="138"/>
      <c r="VD28" s="138"/>
      <c r="VE28" s="138"/>
      <c r="VF28" s="138"/>
      <c r="VG28" s="138"/>
      <c r="VH28" s="138"/>
      <c r="VI28" s="138"/>
      <c r="VJ28" s="138"/>
      <c r="VK28" s="138"/>
      <c r="VL28" s="138"/>
      <c r="VM28" s="138"/>
      <c r="VN28" s="138"/>
      <c r="VO28" s="138"/>
      <c r="VP28" s="138"/>
      <c r="VQ28" s="138"/>
      <c r="VR28" s="138"/>
      <c r="VS28" s="138"/>
      <c r="VT28" s="138"/>
      <c r="VU28" s="138"/>
      <c r="VV28" s="138"/>
      <c r="VW28" s="138"/>
      <c r="VX28" s="138"/>
      <c r="VY28" s="138"/>
      <c r="VZ28" s="138"/>
      <c r="WA28" s="138"/>
      <c r="WB28" s="138"/>
      <c r="WC28" s="138"/>
      <c r="WD28" s="138"/>
      <c r="WE28" s="138"/>
      <c r="WF28" s="138"/>
      <c r="WG28" s="138"/>
      <c r="WH28" s="138"/>
      <c r="WI28" s="138"/>
      <c r="WJ28" s="138"/>
      <c r="WK28" s="138"/>
      <c r="WL28" s="138"/>
      <c r="WM28" s="138"/>
      <c r="WN28" s="138"/>
      <c r="WO28" s="138"/>
      <c r="WP28" s="138"/>
      <c r="WQ28" s="138"/>
      <c r="WR28" s="138"/>
      <c r="WS28" s="138"/>
      <c r="WT28" s="138"/>
      <c r="WU28" s="138"/>
      <c r="WV28" s="138"/>
      <c r="WW28" s="138"/>
      <c r="WX28" s="138"/>
      <c r="WY28" s="138"/>
      <c r="WZ28" s="138"/>
      <c r="XA28" s="138"/>
      <c r="XB28" s="138"/>
      <c r="XC28" s="138"/>
      <c r="XD28" s="138"/>
      <c r="XE28" s="138"/>
      <c r="XF28" s="138"/>
      <c r="XG28" s="138"/>
      <c r="XH28" s="138"/>
      <c r="XI28" s="138"/>
      <c r="XJ28" s="138"/>
      <c r="XK28" s="138"/>
      <c r="XL28" s="138"/>
      <c r="XM28" s="138"/>
      <c r="XN28" s="138"/>
      <c r="XO28" s="138"/>
      <c r="XP28" s="138"/>
      <c r="XQ28" s="138"/>
      <c r="XR28" s="138"/>
      <c r="XS28" s="138"/>
      <c r="XT28" s="138"/>
      <c r="XU28" s="138"/>
      <c r="XV28" s="138"/>
      <c r="XW28" s="138"/>
      <c r="XX28" s="138"/>
      <c r="XY28" s="138"/>
      <c r="XZ28" s="138"/>
      <c r="YA28" s="138"/>
      <c r="YB28" s="138"/>
      <c r="YC28" s="138"/>
      <c r="YD28" s="138"/>
      <c r="YE28" s="138"/>
      <c r="YF28" s="138"/>
      <c r="YG28" s="138"/>
      <c r="YH28" s="138"/>
      <c r="YI28" s="138"/>
      <c r="YJ28" s="138"/>
      <c r="YK28" s="138"/>
      <c r="YL28" s="138"/>
      <c r="YM28" s="138"/>
      <c r="YN28" s="138"/>
      <c r="YO28" s="138"/>
      <c r="YP28" s="138"/>
      <c r="YQ28" s="138"/>
      <c r="YR28" s="138"/>
      <c r="YS28" s="138"/>
      <c r="YT28" s="138"/>
      <c r="YU28" s="138"/>
      <c r="YV28" s="138"/>
      <c r="YW28" s="138"/>
      <c r="YX28" s="138"/>
      <c r="YY28" s="138"/>
      <c r="YZ28" s="138"/>
      <c r="ZA28" s="138"/>
      <c r="ZB28" s="138"/>
      <c r="ZC28" s="138"/>
      <c r="ZD28" s="138"/>
      <c r="ZE28" s="138"/>
      <c r="ZF28" s="138"/>
      <c r="ZG28" s="138"/>
      <c r="ZH28" s="138"/>
      <c r="ZI28" s="138"/>
      <c r="ZJ28" s="138"/>
      <c r="ZK28" s="138"/>
      <c r="ZL28" s="138"/>
      <c r="ZM28" s="138"/>
      <c r="ZN28" s="138"/>
      <c r="ZO28" s="138"/>
      <c r="ZP28" s="138"/>
      <c r="ZQ28" s="138"/>
      <c r="ZR28" s="138"/>
      <c r="ZS28" s="138"/>
      <c r="ZT28" s="138"/>
      <c r="ZU28" s="138"/>
      <c r="ZV28" s="138"/>
      <c r="ZW28" s="138"/>
      <c r="ZX28" s="138"/>
      <c r="ZY28" s="138"/>
      <c r="ZZ28" s="138"/>
      <c r="AAA28" s="138"/>
      <c r="AAB28" s="138"/>
      <c r="AAC28" s="138"/>
      <c r="AAD28" s="138"/>
      <c r="AAE28" s="138"/>
      <c r="AAF28" s="138"/>
      <c r="AAG28" s="138"/>
      <c r="AAH28" s="138"/>
      <c r="AAI28" s="138"/>
      <c r="AAJ28" s="138"/>
      <c r="AAK28" s="138"/>
      <c r="AAL28" s="138"/>
      <c r="AAM28" s="138"/>
      <c r="AAN28" s="138"/>
      <c r="AAO28" s="138"/>
      <c r="AAP28" s="138"/>
      <c r="AAQ28" s="138"/>
      <c r="AAR28" s="138"/>
      <c r="AAS28" s="138"/>
      <c r="AAT28" s="138"/>
      <c r="AAU28" s="138"/>
      <c r="AAV28" s="138"/>
      <c r="AAW28" s="138"/>
      <c r="AAX28" s="138"/>
      <c r="AAY28" s="138"/>
      <c r="AAZ28" s="138"/>
      <c r="ABA28" s="138"/>
      <c r="ABB28" s="138"/>
      <c r="ABC28" s="138"/>
      <c r="ABD28" s="138"/>
      <c r="ABE28" s="138"/>
      <c r="ABF28" s="138"/>
      <c r="ABG28" s="138"/>
      <c r="ABH28" s="138"/>
      <c r="ABI28" s="138"/>
      <c r="ABJ28" s="138"/>
      <c r="ABK28" s="138"/>
      <c r="ABL28" s="138"/>
      <c r="ABM28" s="138"/>
      <c r="ABN28" s="138"/>
      <c r="ABO28" s="138"/>
      <c r="ABP28" s="138"/>
      <c r="ABQ28" s="138"/>
      <c r="ABR28" s="138"/>
      <c r="ABS28" s="138"/>
      <c r="ABT28" s="138"/>
      <c r="ABU28" s="138"/>
      <c r="ABV28" s="138"/>
      <c r="ABW28" s="138"/>
      <c r="ABX28" s="138"/>
      <c r="ABY28" s="138"/>
      <c r="ABZ28" s="138"/>
      <c r="ACA28" s="138"/>
      <c r="ACB28" s="138"/>
      <c r="ACC28" s="138"/>
      <c r="ACD28" s="138"/>
      <c r="ACE28" s="138"/>
      <c r="ACF28" s="138"/>
      <c r="ACG28" s="138"/>
      <c r="ACH28" s="138"/>
      <c r="ACI28" s="138"/>
      <c r="ACJ28" s="138"/>
      <c r="ACK28" s="138"/>
      <c r="ACL28" s="138"/>
      <c r="ACM28" s="138"/>
      <c r="ACN28" s="138"/>
      <c r="ACO28" s="138"/>
      <c r="ACP28" s="138"/>
      <c r="ACQ28" s="138"/>
      <c r="ACR28" s="138"/>
      <c r="ACS28" s="138"/>
      <c r="ACT28" s="138"/>
      <c r="ACU28" s="138"/>
      <c r="ACV28" s="138"/>
      <c r="ACW28" s="138"/>
      <c r="ACX28" s="138"/>
      <c r="ACY28" s="138"/>
      <c r="ACZ28" s="138"/>
      <c r="ADA28" s="138"/>
      <c r="ADB28" s="138"/>
      <c r="ADC28" s="138"/>
      <c r="ADD28" s="138"/>
      <c r="ADE28" s="138"/>
      <c r="ADF28" s="138"/>
      <c r="ADG28" s="138"/>
      <c r="ADH28" s="138"/>
      <c r="ADI28" s="138"/>
      <c r="ADJ28" s="138"/>
      <c r="ADK28" s="138"/>
      <c r="ADL28" s="138"/>
      <c r="ADM28" s="138"/>
      <c r="ADN28" s="138"/>
      <c r="ADO28" s="138"/>
      <c r="ADP28" s="138"/>
      <c r="ADQ28" s="138"/>
      <c r="ADR28" s="138"/>
      <c r="ADS28" s="138"/>
      <c r="ADT28" s="138"/>
      <c r="ADU28" s="138"/>
      <c r="ADV28" s="138"/>
      <c r="ADW28" s="138"/>
      <c r="ADX28" s="138"/>
      <c r="ADY28" s="138"/>
      <c r="ADZ28" s="138"/>
      <c r="AEA28" s="138"/>
      <c r="AEB28" s="138"/>
      <c r="AEC28" s="138"/>
      <c r="AED28" s="138"/>
      <c r="AEE28" s="138"/>
      <c r="AEF28" s="138"/>
      <c r="AEG28" s="138"/>
      <c r="AEH28" s="138"/>
      <c r="AEI28" s="138"/>
      <c r="AEJ28" s="138"/>
      <c r="AEK28" s="138"/>
      <c r="AEL28" s="138"/>
      <c r="AEM28" s="138"/>
      <c r="AEN28" s="138"/>
      <c r="AEO28" s="138"/>
      <c r="AEP28" s="138"/>
      <c r="AEQ28" s="138"/>
      <c r="AER28" s="138"/>
      <c r="AES28" s="138"/>
      <c r="AET28" s="138"/>
      <c r="AEU28" s="138"/>
      <c r="AEV28" s="138"/>
      <c r="AEW28" s="138"/>
      <c r="AEX28" s="138"/>
      <c r="AEY28" s="138"/>
      <c r="AEZ28" s="138"/>
      <c r="AFA28" s="138"/>
      <c r="AFB28" s="138"/>
      <c r="AFC28" s="138"/>
      <c r="AFD28" s="138"/>
      <c r="AFE28" s="138"/>
      <c r="AFF28" s="138"/>
      <c r="AFG28" s="138"/>
      <c r="AFH28" s="138"/>
      <c r="AFI28" s="138"/>
      <c r="AFJ28" s="138"/>
      <c r="AFK28" s="138"/>
      <c r="AFL28" s="138"/>
      <c r="AFM28" s="138"/>
      <c r="AFN28" s="138"/>
      <c r="AFO28" s="138"/>
      <c r="AFP28" s="138"/>
      <c r="AFQ28" s="138"/>
      <c r="AFR28" s="138"/>
      <c r="AFS28" s="138"/>
      <c r="AFT28" s="138"/>
      <c r="AFU28" s="138"/>
      <c r="AFV28" s="138"/>
      <c r="AFW28" s="138"/>
      <c r="AFX28" s="138"/>
      <c r="AFY28" s="138"/>
      <c r="AFZ28" s="138"/>
      <c r="AGA28" s="138"/>
      <c r="AGB28" s="138"/>
      <c r="AGC28" s="138"/>
      <c r="AGD28" s="138"/>
      <c r="AGE28" s="138"/>
      <c r="AGF28" s="138"/>
      <c r="AGG28" s="138"/>
      <c r="AGH28" s="138"/>
      <c r="AGI28" s="138"/>
      <c r="AGJ28" s="138"/>
      <c r="AGK28" s="138"/>
      <c r="AGL28" s="138"/>
      <c r="AGM28" s="138"/>
      <c r="AGN28" s="138"/>
      <c r="AGO28" s="138"/>
      <c r="AGP28" s="138"/>
      <c r="AGQ28" s="138"/>
      <c r="AGR28" s="138"/>
      <c r="AGS28" s="138"/>
      <c r="AGT28" s="138"/>
      <c r="AGU28" s="138"/>
      <c r="AGV28" s="138"/>
      <c r="AGW28" s="138"/>
      <c r="AGX28" s="138"/>
      <c r="AGY28" s="138"/>
      <c r="AGZ28" s="138"/>
      <c r="AHA28" s="138"/>
      <c r="AHB28" s="138"/>
      <c r="AHC28" s="138"/>
      <c r="AHD28" s="138"/>
      <c r="AHE28" s="138"/>
      <c r="AHF28" s="138"/>
      <c r="AHG28" s="138"/>
      <c r="AHH28" s="138"/>
      <c r="AHI28" s="138"/>
      <c r="AHJ28" s="138"/>
      <c r="AHK28" s="138"/>
      <c r="AHL28" s="138"/>
      <c r="AHM28" s="138"/>
      <c r="AHN28" s="138"/>
      <c r="AHO28" s="138"/>
      <c r="AHP28" s="138"/>
      <c r="AHQ28" s="138"/>
      <c r="AHR28" s="138"/>
      <c r="AHS28" s="138"/>
      <c r="AHT28" s="138"/>
      <c r="AHU28" s="138"/>
      <c r="AHV28" s="138"/>
      <c r="AHW28" s="138"/>
      <c r="AHX28" s="138"/>
      <c r="AHY28" s="138"/>
      <c r="AHZ28" s="138"/>
      <c r="AIA28" s="138"/>
      <c r="AIB28" s="138"/>
      <c r="AIC28" s="138"/>
      <c r="AID28" s="138"/>
      <c r="AIE28" s="138"/>
      <c r="AIF28" s="138"/>
      <c r="AIG28" s="138"/>
      <c r="AIH28" s="138"/>
      <c r="AII28" s="138"/>
      <c r="AIJ28" s="138"/>
      <c r="AIK28" s="138"/>
      <c r="AIL28" s="138"/>
      <c r="AIM28" s="138"/>
      <c r="AIN28" s="138"/>
      <c r="AIO28" s="138"/>
      <c r="AIP28" s="138"/>
      <c r="AIQ28" s="138"/>
      <c r="AIR28" s="138"/>
      <c r="AIS28" s="138"/>
      <c r="AIT28" s="138"/>
      <c r="AIU28" s="138"/>
      <c r="AIV28" s="138"/>
      <c r="AIW28" s="138"/>
      <c r="AIX28" s="138"/>
      <c r="AIY28" s="138"/>
      <c r="AIZ28" s="138"/>
      <c r="AJA28" s="138"/>
      <c r="AJB28" s="138"/>
      <c r="AJC28" s="138"/>
      <c r="AJD28" s="138"/>
      <c r="AJE28" s="138"/>
      <c r="AJF28" s="138"/>
      <c r="AJG28" s="138"/>
      <c r="AJH28" s="138"/>
      <c r="AJI28" s="138"/>
      <c r="AJJ28" s="138"/>
      <c r="AJK28" s="138"/>
      <c r="AJL28" s="138"/>
      <c r="AJM28" s="138"/>
      <c r="AJN28" s="138"/>
      <c r="AJO28" s="138"/>
      <c r="AJP28" s="138"/>
      <c r="AJQ28" s="138"/>
      <c r="AJR28" s="138"/>
      <c r="AJS28" s="138"/>
      <c r="AJT28" s="138"/>
      <c r="AJU28" s="138"/>
      <c r="AJV28" s="138"/>
      <c r="AJW28" s="138"/>
      <c r="AJX28" s="138"/>
      <c r="AJY28" s="138"/>
      <c r="AJZ28" s="138"/>
      <c r="AKA28" s="138"/>
      <c r="AKB28" s="138"/>
      <c r="AKC28" s="138"/>
      <c r="AKD28" s="138"/>
      <c r="AKE28" s="138"/>
      <c r="AKF28" s="138"/>
      <c r="AKG28" s="138"/>
      <c r="AKH28" s="138"/>
      <c r="AKI28" s="138"/>
      <c r="AKJ28" s="138"/>
      <c r="AKK28" s="138"/>
      <c r="AKL28" s="138"/>
      <c r="AKM28" s="138"/>
      <c r="AKN28" s="138"/>
      <c r="AKO28" s="138"/>
      <c r="AKP28" s="138"/>
      <c r="AKQ28" s="138"/>
      <c r="AKR28" s="138"/>
      <c r="AKS28" s="138"/>
      <c r="AKT28" s="138"/>
      <c r="AKU28" s="138"/>
      <c r="AKV28" s="138"/>
      <c r="AKW28" s="138"/>
      <c r="AKX28" s="138"/>
      <c r="AKY28" s="138"/>
      <c r="AKZ28" s="138"/>
      <c r="ALA28" s="138"/>
      <c r="ALB28" s="138"/>
      <c r="ALC28" s="138"/>
      <c r="ALD28" s="138"/>
      <c r="ALE28" s="138"/>
      <c r="ALF28" s="138"/>
      <c r="ALG28" s="138"/>
      <c r="ALH28" s="138"/>
      <c r="ALI28" s="138"/>
      <c r="ALJ28" s="138"/>
      <c r="ALK28" s="138"/>
      <c r="ALL28" s="138"/>
      <c r="ALM28" s="138"/>
      <c r="ALN28" s="138"/>
      <c r="ALO28" s="138"/>
      <c r="ALP28" s="138"/>
      <c r="ALQ28" s="138"/>
      <c r="ALR28" s="138"/>
      <c r="ALS28" s="138"/>
      <c r="ALT28" s="138"/>
      <c r="ALU28" s="138"/>
      <c r="ALV28" s="138"/>
      <c r="ALW28" s="138"/>
      <c r="ALX28" s="138"/>
    </row>
    <row r="29" customFormat="false" ht="18" hidden="false" customHeight="true" outlineLevel="0" collapsed="false">
      <c r="B29" s="2"/>
      <c r="C29" s="2"/>
      <c r="D29" s="2"/>
      <c r="E29" s="2"/>
      <c r="F29" s="2"/>
      <c r="G29" s="2"/>
      <c r="H29" s="81"/>
      <c r="I29" s="2"/>
      <c r="J29" s="2"/>
      <c r="O29" s="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D29" s="56"/>
      <c r="AE29" s="56"/>
      <c r="AF29" s="56"/>
      <c r="AG29" s="56"/>
      <c r="AH29" s="56"/>
      <c r="AS29" s="142"/>
      <c r="AT29" s="142"/>
      <c r="AU29" s="142"/>
      <c r="AV29" s="142"/>
      <c r="AW29" s="142"/>
    </row>
    <row r="30" customFormat="false" ht="39.75" hidden="false" customHeight="true" outlineLevel="0" collapsed="false">
      <c r="B30" s="46" t="s">
        <v>30</v>
      </c>
      <c r="C30" s="83" t="str">
        <f aca="false">'Base Caxias do Sul'!C19</f>
        <v>Oficial de Manutenção Predial</v>
      </c>
      <c r="D30" s="83" t="str">
        <f aca="false">'Base Caxias do Sul'!D19</f>
        <v>Ajudante (ref. SINAPI/88241)</v>
      </c>
      <c r="E30" s="143" t="str">
        <f aca="false">'Base Caxias do Sul'!E19</f>
        <v>Eletrotécnico (ref. SINAPI/88266)</v>
      </c>
      <c r="N30" s="144"/>
      <c r="O30" s="145"/>
      <c r="R30" s="84"/>
      <c r="Z30" s="84"/>
      <c r="AA30" s="84"/>
      <c r="AB30" s="84"/>
      <c r="AC30" s="84"/>
    </row>
    <row r="31" customFormat="false" ht="18" hidden="false" customHeight="true" outlineLevel="0" collapsed="false">
      <c r="B31" s="46"/>
      <c r="C31" s="25" t="n">
        <f aca="false">'Base Caxias do Sul'!C20</f>
        <v>28.820692</v>
      </c>
      <c r="D31" s="25" t="n">
        <f aca="false">'Base Caxias do Sul'!D20</f>
        <v>24.39</v>
      </c>
      <c r="E31" s="25" t="n">
        <f aca="false">'Base Caxias do Sul'!E20</f>
        <v>36.17</v>
      </c>
      <c r="N31" s="144"/>
      <c r="O31" s="145"/>
    </row>
    <row r="32" customFormat="false" ht="40.5" hidden="false" customHeight="true" outlineLevel="0" collapsed="false">
      <c r="B32" s="51" t="str">
        <f aca="false">'Base Caxias do Sul'!B21</f>
        <v>* Tabela SINAPI Janeiro/2025 (Não Desonerado)</v>
      </c>
      <c r="N32" s="145"/>
      <c r="O32" s="145"/>
    </row>
    <row r="33" customFormat="false" ht="14.25" hidden="false" customHeight="false" outlineLevel="0" collapsed="false">
      <c r="N33" s="145"/>
      <c r="O33" s="145"/>
    </row>
    <row r="34" customFormat="false" ht="14.25" hidden="false" customHeight="false" outlineLevel="0" collapsed="false">
      <c r="N34" s="145"/>
      <c r="O34" s="145"/>
    </row>
    <row r="35" customFormat="false" ht="15.75" hidden="false" customHeight="true" outlineLevel="0" collapsed="false">
      <c r="N35" s="145"/>
      <c r="O35" s="145"/>
    </row>
    <row r="36" customFormat="false" ht="14.25" hidden="false" customHeight="false" outlineLevel="0" collapsed="false">
      <c r="N36" s="145"/>
      <c r="O36" s="145"/>
    </row>
    <row r="37" customFormat="false" ht="14.25" hidden="false" customHeight="false" outlineLevel="0" collapsed="false">
      <c r="N37" s="145"/>
      <c r="O37" s="145"/>
    </row>
    <row r="38" customFormat="false" ht="14.25" hidden="false" customHeight="false" outlineLevel="0" collapsed="false">
      <c r="N38" s="145"/>
      <c r="O38" s="145"/>
    </row>
    <row r="39" customFormat="false" ht="14.25" hidden="false" customHeight="false" outlineLevel="0" collapsed="false">
      <c r="N39" s="145"/>
      <c r="O39" s="145"/>
    </row>
    <row r="40" customFormat="false" ht="14.25" hidden="false" customHeight="false" outlineLevel="0" collapsed="false">
      <c r="N40" s="145"/>
      <c r="O40" s="145"/>
    </row>
    <row r="65538" customFormat="false" ht="12.75" hidden="false" customHeight="true" outlineLevel="0" collapsed="false"/>
    <row r="65539" customFormat="false" ht="12.75" hidden="false" customHeight="true" outlineLevel="0" collapsed="false"/>
    <row r="65540" customFormat="false" ht="12.75" hidden="false" customHeight="true" outlineLevel="0" collapsed="false"/>
    <row r="1048576" customFormat="false" ht="12.75" hidden="false" customHeight="fals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8:AJ28"/>
    <mergeCell ref="B30:B31"/>
    <mergeCell ref="N30:N31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R9" activeCellId="0" sqref="R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7" width="12.62"/>
    <col collapsed="false" customWidth="true" hidden="false" outlineLevel="0" max="3" min="3" style="87" width="32.62"/>
    <col collapsed="false" customWidth="true" hidden="false" outlineLevel="0" max="17" min="4" style="87" width="9.62"/>
    <col collapsed="false" customWidth="true" hidden="false" outlineLevel="0" max="18" min="18" style="87" width="10.75"/>
    <col collapsed="false" customWidth="true" hidden="false" outlineLevel="0" max="19" min="19" style="87" width="14.87"/>
    <col collapsed="false" customWidth="true" hidden="false" outlineLevel="0" max="66" min="20" style="87" width="10.75"/>
    <col collapsed="false" customWidth="true" hidden="false" outlineLevel="0" max="257" min="67" style="86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"&amp;Resumo!B6</f>
        <v>DESLOCAMENTO BASE NOVO HAMBURGO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customFormat="false" ht="38.25" hidden="false" customHeight="false" outlineLevel="0" collapsed="false">
      <c r="B4" s="22" t="s">
        <v>100</v>
      </c>
      <c r="C4" s="22" t="str">
        <f aca="false">"Rota (saída e retorno "&amp;Resumo!B6&amp;")"</f>
        <v>Rota (saída e retorno NOVO HAMBURGO)</v>
      </c>
      <c r="D4" s="22" t="s">
        <v>101</v>
      </c>
      <c r="E4" s="22" t="s">
        <v>102</v>
      </c>
      <c r="F4" s="22" t="s">
        <v>103</v>
      </c>
      <c r="G4" s="22" t="s">
        <v>104</v>
      </c>
      <c r="H4" s="22" t="s">
        <v>105</v>
      </c>
      <c r="I4" s="22" t="s">
        <v>106</v>
      </c>
      <c r="J4" s="22" t="s">
        <v>107</v>
      </c>
      <c r="K4" s="22" t="s">
        <v>108</v>
      </c>
      <c r="L4" s="22" t="s">
        <v>109</v>
      </c>
      <c r="M4" s="89" t="s">
        <v>152</v>
      </c>
      <c r="N4" s="22" t="s">
        <v>111</v>
      </c>
      <c r="O4" s="22" t="s">
        <v>112</v>
      </c>
      <c r="P4" s="22" t="s">
        <v>113</v>
      </c>
      <c r="Q4" s="22" t="s">
        <v>67</v>
      </c>
      <c r="R4" s="33" t="s">
        <v>114</v>
      </c>
      <c r="S4" s="33" t="s">
        <v>115</v>
      </c>
    </row>
    <row r="5" customFormat="false" ht="15.75" hidden="false" customHeight="true" outlineLevel="0" collapsed="false">
      <c r="B5" s="50" t="n">
        <v>1</v>
      </c>
      <c r="C5" s="90" t="s">
        <v>131</v>
      </c>
      <c r="D5" s="91" t="n">
        <v>0</v>
      </c>
      <c r="E5" s="91" t="n">
        <v>0</v>
      </c>
      <c r="F5" s="91" t="n">
        <v>0</v>
      </c>
      <c r="G5" s="92" t="n">
        <f aca="false">SUM(D5:F5)</f>
        <v>0</v>
      </c>
      <c r="H5" s="146" t="n">
        <v>0</v>
      </c>
      <c r="I5" s="146" t="n">
        <v>0</v>
      </c>
      <c r="J5" s="146" t="n">
        <v>0</v>
      </c>
      <c r="K5" s="94" t="n">
        <f aca="false">SUM(H5:J5)</f>
        <v>0</v>
      </c>
      <c r="L5" s="147" t="n">
        <f aca="false">K5/60</f>
        <v>0</v>
      </c>
      <c r="M5" s="148" t="n">
        <v>0</v>
      </c>
      <c r="N5" s="149" t="n">
        <v>1</v>
      </c>
      <c r="O5" s="150" t="n">
        <f aca="false">L5/N5</f>
        <v>0</v>
      </c>
      <c r="P5" s="151" t="n">
        <v>0</v>
      </c>
      <c r="Q5" s="151" t="n">
        <v>0</v>
      </c>
      <c r="R5" s="100" t="str">
        <f aca="false">INDEX('Base Novo Hamburgo'!$K$7:$K$27,MATCH('Desl. Base Novo Hamburgo'!C5,'Base Novo Hamburgo'!$B$7:$B$27,0))</f>
        <v>NÃO</v>
      </c>
      <c r="S5" s="100" t="n">
        <v>0</v>
      </c>
    </row>
    <row r="6" customFormat="false" ht="15.75" hidden="false" customHeight="true" outlineLevel="0" collapsed="false">
      <c r="B6" s="50"/>
      <c r="C6" s="90" t="s">
        <v>132</v>
      </c>
      <c r="D6" s="91" t="n">
        <v>1.3</v>
      </c>
      <c r="E6" s="91" t="n">
        <v>1.4</v>
      </c>
      <c r="F6" s="91" t="n">
        <v>0</v>
      </c>
      <c r="G6" s="92" t="n">
        <f aca="false">SUM(D6:F6)</f>
        <v>2.7</v>
      </c>
      <c r="H6" s="146" t="n">
        <v>6</v>
      </c>
      <c r="I6" s="146" t="n">
        <v>6</v>
      </c>
      <c r="J6" s="146" t="n">
        <v>0</v>
      </c>
      <c r="K6" s="94" t="n">
        <f aca="false">SUM(H6:J6)</f>
        <v>12</v>
      </c>
      <c r="L6" s="147" t="n">
        <f aca="false">K6/60</f>
        <v>0.2</v>
      </c>
      <c r="M6" s="148" t="n">
        <v>0</v>
      </c>
      <c r="N6" s="149" t="n">
        <v>1</v>
      </c>
      <c r="O6" s="150" t="n">
        <f aca="false">L6/N6</f>
        <v>0.2</v>
      </c>
      <c r="P6" s="151" t="n">
        <v>0</v>
      </c>
      <c r="Q6" s="151" t="n">
        <v>0</v>
      </c>
      <c r="R6" s="100" t="str">
        <f aca="false">INDEX('Base Novo Hamburgo'!$K$7:$K$27,MATCH('Desl. Base Novo Hamburgo'!C6,'Base Novo Hamburgo'!$B$7:$B$27,0))</f>
        <v>NÃO</v>
      </c>
      <c r="S6" s="100" t="n">
        <v>0</v>
      </c>
    </row>
    <row r="7" customFormat="false" ht="15.75" hidden="false" customHeight="true" outlineLevel="0" collapsed="false">
      <c r="B7" s="50" t="n">
        <v>2</v>
      </c>
      <c r="C7" s="90" t="s">
        <v>133</v>
      </c>
      <c r="D7" s="91" t="n">
        <v>8</v>
      </c>
      <c r="E7" s="91" t="n">
        <v>8.5</v>
      </c>
      <c r="F7" s="91" t="n">
        <v>1.2</v>
      </c>
      <c r="G7" s="101" t="n">
        <f aca="false">SUM(D7:F7)</f>
        <v>17.7</v>
      </c>
      <c r="H7" s="146" t="n">
        <v>14</v>
      </c>
      <c r="I7" s="146" t="n">
        <v>15</v>
      </c>
      <c r="J7" s="146" t="n">
        <v>3</v>
      </c>
      <c r="K7" s="103" t="n">
        <f aca="false">SUM(H7:J7)</f>
        <v>32</v>
      </c>
      <c r="L7" s="150" t="n">
        <f aca="false">K7/60</f>
        <v>0.533333333333333</v>
      </c>
      <c r="M7" s="148" t="n">
        <v>0</v>
      </c>
      <c r="N7" s="149" t="n">
        <v>2</v>
      </c>
      <c r="O7" s="150" t="n">
        <f aca="false">L7/N7</f>
        <v>0.266666666666667</v>
      </c>
      <c r="P7" s="152" t="n">
        <v>0</v>
      </c>
      <c r="Q7" s="152" t="n">
        <v>0</v>
      </c>
      <c r="R7" s="100" t="str">
        <f aca="false">INDEX('Base Novo Hamburgo'!$K$7:$K$27,MATCH('Desl. Base Novo Hamburgo'!C7,'Base Novo Hamburgo'!$B$7:$B$27,0))</f>
        <v>SIM</v>
      </c>
      <c r="S7" s="100" t="n">
        <v>1</v>
      </c>
    </row>
    <row r="8" customFormat="false" ht="15.75" hidden="false" customHeight="true" outlineLevel="0" collapsed="false">
      <c r="B8" s="50"/>
      <c r="C8" s="90" t="s">
        <v>134</v>
      </c>
      <c r="D8" s="91"/>
      <c r="E8" s="91"/>
      <c r="F8" s="91"/>
      <c r="G8" s="101"/>
      <c r="H8" s="146"/>
      <c r="I8" s="146"/>
      <c r="J8" s="146"/>
      <c r="K8" s="103"/>
      <c r="L8" s="150"/>
      <c r="M8" s="148"/>
      <c r="N8" s="149"/>
      <c r="O8" s="150" t="n">
        <f aca="false">O7</f>
        <v>0.266666666666667</v>
      </c>
      <c r="P8" s="152" t="n">
        <v>0</v>
      </c>
      <c r="Q8" s="152" t="n">
        <v>0</v>
      </c>
      <c r="R8" s="100" t="str">
        <f aca="false">INDEX('Base Novo Hamburgo'!$K$7:$K$27,MATCH('Desl. Base Novo Hamburgo'!C8,'Base Novo Hamburgo'!$B$7:$B$27,0))</f>
        <v>SIM</v>
      </c>
      <c r="S8" s="100" t="n">
        <v>1</v>
      </c>
    </row>
    <row r="9" customFormat="false" ht="15.75" hidden="false" customHeight="true" outlineLevel="0" collapsed="false">
      <c r="B9" s="50" t="n">
        <v>3</v>
      </c>
      <c r="C9" s="90" t="s">
        <v>135</v>
      </c>
      <c r="D9" s="91" t="n">
        <v>55.4</v>
      </c>
      <c r="E9" s="91" t="n">
        <v>57.2</v>
      </c>
      <c r="F9" s="91" t="n">
        <v>0</v>
      </c>
      <c r="G9" s="101" t="n">
        <f aca="false">SUM(D9:F9)</f>
        <v>112.6</v>
      </c>
      <c r="H9" s="146" t="n">
        <v>57</v>
      </c>
      <c r="I9" s="146" t="n">
        <v>59</v>
      </c>
      <c r="J9" s="146" t="n">
        <v>0</v>
      </c>
      <c r="K9" s="103" t="n">
        <f aca="false">SUM(H9:J9)</f>
        <v>116</v>
      </c>
      <c r="L9" s="150" t="n">
        <f aca="false">K9/60</f>
        <v>1.93333333333333</v>
      </c>
      <c r="M9" s="148" t="n">
        <v>6.5</v>
      </c>
      <c r="N9" s="149" t="n">
        <v>1</v>
      </c>
      <c r="O9" s="150" t="n">
        <f aca="false">L9/N9</f>
        <v>1.93333333333333</v>
      </c>
      <c r="P9" s="153" t="n">
        <f aca="false">M9/N9</f>
        <v>6.5</v>
      </c>
      <c r="Q9" s="152" t="n">
        <v>0</v>
      </c>
      <c r="R9" s="100" t="str">
        <f aca="false">INDEX('Base Novo Hamburgo'!$K$7:$K$27,MATCH('Desl. Base Novo Hamburgo'!C9,'Base Novo Hamburgo'!$B$7:$B$27,0))</f>
        <v>NÃO</v>
      </c>
      <c r="S9" s="100" t="n">
        <v>0</v>
      </c>
    </row>
    <row r="10" customFormat="false" ht="15.75" hidden="false" customHeight="true" outlineLevel="0" collapsed="false">
      <c r="B10" s="50" t="n">
        <v>4</v>
      </c>
      <c r="C10" s="90" t="s">
        <v>136</v>
      </c>
      <c r="D10" s="91" t="n">
        <v>17.6</v>
      </c>
      <c r="E10" s="91" t="n">
        <f aca="false">27.9-D10</f>
        <v>10.3</v>
      </c>
      <c r="F10" s="91" t="n">
        <v>15.1</v>
      </c>
      <c r="G10" s="101" t="n">
        <f aca="false">SUM(D10:F10)</f>
        <v>43</v>
      </c>
      <c r="H10" s="146" t="n">
        <v>21</v>
      </c>
      <c r="I10" s="146" t="n">
        <v>17</v>
      </c>
      <c r="J10" s="146" t="n">
        <v>19</v>
      </c>
      <c r="K10" s="103" t="n">
        <f aca="false">SUM(H10:J10)</f>
        <v>57</v>
      </c>
      <c r="L10" s="150" t="n">
        <f aca="false">K10/60</f>
        <v>0.95</v>
      </c>
      <c r="M10" s="148" t="n">
        <v>0</v>
      </c>
      <c r="N10" s="149" t="n">
        <v>2</v>
      </c>
      <c r="O10" s="150" t="n">
        <f aca="false">L10/N10</f>
        <v>0.475</v>
      </c>
      <c r="P10" s="152" t="n">
        <v>0</v>
      </c>
      <c r="Q10" s="152" t="n">
        <v>0</v>
      </c>
      <c r="R10" s="100" t="str">
        <f aca="false">INDEX('Base Novo Hamburgo'!$K$7:$K$27,MATCH('Desl. Base Novo Hamburgo'!C10,'Base Novo Hamburgo'!$B$7:$B$27,0))</f>
        <v>SIM</v>
      </c>
      <c r="S10" s="100" t="n">
        <v>1</v>
      </c>
    </row>
    <row r="11" customFormat="false" ht="15.75" hidden="false" customHeight="true" outlineLevel="0" collapsed="false">
      <c r="B11" s="50"/>
      <c r="C11" s="90" t="s">
        <v>137</v>
      </c>
      <c r="D11" s="91"/>
      <c r="E11" s="91"/>
      <c r="F11" s="91"/>
      <c r="G11" s="101"/>
      <c r="H11" s="146"/>
      <c r="I11" s="146"/>
      <c r="J11" s="146"/>
      <c r="K11" s="103"/>
      <c r="L11" s="150"/>
      <c r="M11" s="148"/>
      <c r="N11" s="149"/>
      <c r="O11" s="150" t="n">
        <f aca="false">O10</f>
        <v>0.475</v>
      </c>
      <c r="P11" s="152" t="n">
        <v>0</v>
      </c>
      <c r="Q11" s="152" t="n">
        <v>0</v>
      </c>
      <c r="R11" s="100" t="str">
        <f aca="false">INDEX('Base Novo Hamburgo'!$K$7:$K$27,MATCH('Desl. Base Novo Hamburgo'!C11,'Base Novo Hamburgo'!$B$7:$B$27,0))</f>
        <v>SIM</v>
      </c>
      <c r="S11" s="100" t="n">
        <v>1</v>
      </c>
    </row>
    <row r="12" customFormat="false" ht="15.75" hidden="false" customHeight="true" outlineLevel="0" collapsed="false">
      <c r="B12" s="50" t="n">
        <v>5</v>
      </c>
      <c r="C12" s="90" t="s">
        <v>138</v>
      </c>
      <c r="D12" s="91" t="n">
        <v>17</v>
      </c>
      <c r="E12" s="91" t="n">
        <v>15.3</v>
      </c>
      <c r="F12" s="91" t="n">
        <v>12</v>
      </c>
      <c r="G12" s="101" t="n">
        <f aca="false">SUM(D12:F12)</f>
        <v>44.3</v>
      </c>
      <c r="H12" s="146" t="n">
        <v>18</v>
      </c>
      <c r="I12" s="146" t="n">
        <v>25</v>
      </c>
      <c r="J12" s="146" t="n">
        <v>16</v>
      </c>
      <c r="K12" s="103" t="n">
        <f aca="false">SUM(H12:J12)</f>
        <v>59</v>
      </c>
      <c r="L12" s="150" t="n">
        <f aca="false">K12/60</f>
        <v>0.983333333333333</v>
      </c>
      <c r="M12" s="148" t="n">
        <v>0</v>
      </c>
      <c r="N12" s="149" t="n">
        <v>2</v>
      </c>
      <c r="O12" s="150" t="n">
        <f aca="false">L12/N12</f>
        <v>0.491666666666667</v>
      </c>
      <c r="P12" s="152" t="n">
        <v>0</v>
      </c>
      <c r="Q12" s="152" t="n">
        <v>0</v>
      </c>
      <c r="R12" s="100" t="str">
        <f aca="false">INDEX('Base Novo Hamburgo'!$K$7:$K$27,MATCH('Desl. Base Novo Hamburgo'!C12,'Base Novo Hamburgo'!$B$7:$B$27,0))</f>
        <v>NÃO</v>
      </c>
      <c r="S12" s="100" t="n">
        <v>1</v>
      </c>
    </row>
    <row r="13" customFormat="false" ht="15.75" hidden="false" customHeight="true" outlineLevel="0" collapsed="false">
      <c r="B13" s="50"/>
      <c r="C13" s="90" t="s">
        <v>139</v>
      </c>
      <c r="D13" s="91"/>
      <c r="E13" s="91"/>
      <c r="F13" s="91"/>
      <c r="G13" s="101"/>
      <c r="H13" s="146"/>
      <c r="I13" s="146"/>
      <c r="J13" s="146"/>
      <c r="K13" s="103"/>
      <c r="L13" s="150"/>
      <c r="M13" s="148"/>
      <c r="N13" s="149"/>
      <c r="O13" s="150" t="n">
        <f aca="false">O12</f>
        <v>0.491666666666667</v>
      </c>
      <c r="P13" s="152" t="n">
        <v>0</v>
      </c>
      <c r="Q13" s="152" t="n">
        <v>0</v>
      </c>
      <c r="R13" s="100" t="str">
        <f aca="false">INDEX('Base Novo Hamburgo'!$K$7:$K$27,MATCH('Desl. Base Novo Hamburgo'!C13,'Base Novo Hamburgo'!$B$7:$B$27,0))</f>
        <v>SIM</v>
      </c>
      <c r="S13" s="100" t="n">
        <v>1</v>
      </c>
    </row>
    <row r="14" customFormat="false" ht="15.75" hidden="false" customHeight="true" outlineLevel="0" collapsed="false">
      <c r="B14" s="50" t="n">
        <v>6</v>
      </c>
      <c r="C14" s="90" t="s">
        <v>140</v>
      </c>
      <c r="D14" s="91" t="n">
        <v>42.9</v>
      </c>
      <c r="E14" s="91" t="n">
        <f aca="false">61.5-D14</f>
        <v>18.6</v>
      </c>
      <c r="F14" s="91" t="n">
        <v>35.3</v>
      </c>
      <c r="G14" s="101" t="n">
        <f aca="false">SUM(D14:F14)</f>
        <v>96.8</v>
      </c>
      <c r="H14" s="146" t="n">
        <v>43</v>
      </c>
      <c r="I14" s="146" t="n">
        <f aca="false">71-H14</f>
        <v>28</v>
      </c>
      <c r="J14" s="146" t="n">
        <v>36</v>
      </c>
      <c r="K14" s="103" t="n">
        <f aca="false">SUM(H14:J14)</f>
        <v>107</v>
      </c>
      <c r="L14" s="150" t="n">
        <f aca="false">K14/60</f>
        <v>1.78333333333333</v>
      </c>
      <c r="M14" s="148" t="n">
        <v>18</v>
      </c>
      <c r="N14" s="149" t="n">
        <v>2</v>
      </c>
      <c r="O14" s="150" t="n">
        <f aca="false">L14/N14</f>
        <v>0.891666666666667</v>
      </c>
      <c r="P14" s="153" t="n">
        <f aca="false">M14/N14</f>
        <v>9</v>
      </c>
      <c r="Q14" s="152" t="n">
        <v>0</v>
      </c>
      <c r="R14" s="100" t="str">
        <f aca="false">INDEX('Base Novo Hamburgo'!$K$7:$K$27,MATCH('Desl. Base Novo Hamburgo'!C14,'Base Novo Hamburgo'!$B$7:$B$27,0))</f>
        <v>SIM</v>
      </c>
      <c r="S14" s="100" t="n">
        <v>1</v>
      </c>
    </row>
    <row r="15" customFormat="false" ht="15.75" hidden="false" customHeight="true" outlineLevel="0" collapsed="false">
      <c r="B15" s="50"/>
      <c r="C15" s="90" t="s">
        <v>141</v>
      </c>
      <c r="D15" s="91"/>
      <c r="E15" s="91"/>
      <c r="F15" s="91"/>
      <c r="G15" s="101"/>
      <c r="H15" s="146"/>
      <c r="I15" s="146"/>
      <c r="J15" s="146"/>
      <c r="K15" s="103"/>
      <c r="L15" s="150"/>
      <c r="M15" s="148"/>
      <c r="N15" s="149"/>
      <c r="O15" s="150" t="n">
        <f aca="false">O14</f>
        <v>0.891666666666667</v>
      </c>
      <c r="P15" s="153" t="n">
        <f aca="false">M14/N14</f>
        <v>9</v>
      </c>
      <c r="Q15" s="152" t="n">
        <v>0</v>
      </c>
      <c r="R15" s="100" t="str">
        <f aca="false">INDEX('Base Novo Hamburgo'!$K$7:$K$27,MATCH('Desl. Base Novo Hamburgo'!C15,'Base Novo Hamburgo'!$B$7:$B$27,0))</f>
        <v>SIM</v>
      </c>
      <c r="S15" s="100" t="n">
        <v>1</v>
      </c>
    </row>
    <row r="16" customFormat="false" ht="15.75" hidden="false" customHeight="true" outlineLevel="0" collapsed="false">
      <c r="B16" s="50" t="n">
        <v>7</v>
      </c>
      <c r="C16" s="90" t="s">
        <v>142</v>
      </c>
      <c r="D16" s="91" t="n">
        <v>106</v>
      </c>
      <c r="E16" s="91" t="n">
        <v>7</v>
      </c>
      <c r="F16" s="91" t="n">
        <v>109</v>
      </c>
      <c r="G16" s="101" t="n">
        <f aca="false">SUM(D16:F16)</f>
        <v>222</v>
      </c>
      <c r="H16" s="146" t="n">
        <v>90</v>
      </c>
      <c r="I16" s="146" t="n">
        <v>5</v>
      </c>
      <c r="J16" s="146" t="n">
        <v>96</v>
      </c>
      <c r="K16" s="103" t="n">
        <f aca="false">SUM(H16:J16)</f>
        <v>191</v>
      </c>
      <c r="L16" s="150" t="n">
        <f aca="false">K16/60</f>
        <v>3.18333333333333</v>
      </c>
      <c r="M16" s="148" t="n">
        <v>25.5</v>
      </c>
      <c r="N16" s="149" t="n">
        <v>2</v>
      </c>
      <c r="O16" s="150" t="n">
        <f aca="false">L16/N16</f>
        <v>1.59166666666667</v>
      </c>
      <c r="P16" s="153" t="n">
        <f aca="false">M16/N16</f>
        <v>12.75</v>
      </c>
      <c r="Q16" s="152" t="n">
        <v>0</v>
      </c>
      <c r="R16" s="100" t="str">
        <f aca="false">INDEX('Base Novo Hamburgo'!$K$7:$K$27,MATCH('Desl. Base Novo Hamburgo'!C16,'Base Novo Hamburgo'!$B$7:$B$27,0))</f>
        <v>SIM</v>
      </c>
      <c r="S16" s="100" t="n">
        <v>1</v>
      </c>
    </row>
    <row r="17" customFormat="false" ht="15.75" hidden="false" customHeight="true" outlineLevel="0" collapsed="false">
      <c r="B17" s="50"/>
      <c r="C17" s="90" t="s">
        <v>143</v>
      </c>
      <c r="D17" s="91"/>
      <c r="E17" s="91"/>
      <c r="F17" s="91"/>
      <c r="G17" s="101"/>
      <c r="H17" s="146"/>
      <c r="I17" s="146"/>
      <c r="J17" s="146"/>
      <c r="K17" s="103"/>
      <c r="L17" s="150"/>
      <c r="M17" s="148"/>
      <c r="N17" s="149"/>
      <c r="O17" s="150" t="n">
        <f aca="false">O16</f>
        <v>1.59166666666667</v>
      </c>
      <c r="P17" s="153" t="n">
        <f aca="false">M16/N16</f>
        <v>12.75</v>
      </c>
      <c r="Q17" s="152" t="n">
        <v>0</v>
      </c>
      <c r="R17" s="100" t="str">
        <f aca="false">INDEX('Base Novo Hamburgo'!$K$7:$K$27,MATCH('Desl. Base Novo Hamburgo'!C17,'Base Novo Hamburgo'!$B$7:$B$27,0))</f>
        <v>NÃO</v>
      </c>
      <c r="S17" s="100" t="n">
        <v>1</v>
      </c>
    </row>
    <row r="18" customFormat="false" ht="15.75" hidden="false" customHeight="true" outlineLevel="0" collapsed="false">
      <c r="B18" s="50" t="n">
        <v>8</v>
      </c>
      <c r="C18" s="90" t="s">
        <v>144</v>
      </c>
      <c r="D18" s="91" t="n">
        <v>137</v>
      </c>
      <c r="E18" s="91" t="n">
        <f aca="false">174-D18</f>
        <v>37</v>
      </c>
      <c r="F18" s="91" t="n">
        <v>102</v>
      </c>
      <c r="G18" s="101" t="n">
        <f aca="false">SUM(D18:F18)</f>
        <v>276</v>
      </c>
      <c r="H18" s="146" t="n">
        <v>119</v>
      </c>
      <c r="I18" s="146" t="n">
        <f aca="false">173-H18</f>
        <v>54</v>
      </c>
      <c r="J18" s="146" t="n">
        <v>90</v>
      </c>
      <c r="K18" s="103" t="n">
        <f aca="false">SUM(H18:J18)</f>
        <v>263</v>
      </c>
      <c r="L18" s="150" t="n">
        <f aca="false">K18/60</f>
        <v>4.38333333333333</v>
      </c>
      <c r="M18" s="148" t="n">
        <v>25.5</v>
      </c>
      <c r="N18" s="149" t="n">
        <v>2</v>
      </c>
      <c r="O18" s="150" t="n">
        <f aca="false">L18/N18</f>
        <v>2.19166666666667</v>
      </c>
      <c r="P18" s="153" t="n">
        <f aca="false">M18/N18</f>
        <v>12.75</v>
      </c>
      <c r="Q18" s="152" t="n">
        <v>0</v>
      </c>
      <c r="R18" s="100" t="str">
        <f aca="false">INDEX('Base Novo Hamburgo'!$K$7:$K$27,MATCH('Desl. Base Novo Hamburgo'!C18,'Base Novo Hamburgo'!$B$7:$B$27,0))</f>
        <v>SIM</v>
      </c>
      <c r="S18" s="100" t="n">
        <v>1</v>
      </c>
    </row>
    <row r="19" customFormat="false" ht="15.75" hidden="false" customHeight="true" outlineLevel="0" collapsed="false">
      <c r="B19" s="50"/>
      <c r="C19" s="90" t="s">
        <v>145</v>
      </c>
      <c r="D19" s="91"/>
      <c r="E19" s="91"/>
      <c r="F19" s="91"/>
      <c r="G19" s="101"/>
      <c r="H19" s="146"/>
      <c r="I19" s="146"/>
      <c r="J19" s="146"/>
      <c r="K19" s="103"/>
      <c r="L19" s="150"/>
      <c r="M19" s="148"/>
      <c r="N19" s="149"/>
      <c r="O19" s="150" t="n">
        <f aca="false">O18</f>
        <v>2.19166666666667</v>
      </c>
      <c r="P19" s="153" t="n">
        <f aca="false">M18/N18</f>
        <v>12.75</v>
      </c>
      <c r="Q19" s="152" t="n">
        <v>0</v>
      </c>
      <c r="R19" s="100" t="str">
        <f aca="false">INDEX('Base Novo Hamburgo'!$K$7:$K$27,MATCH('Desl. Base Novo Hamburgo'!C19,'Base Novo Hamburgo'!$B$7:$B$27,0))</f>
        <v>NÃO</v>
      </c>
      <c r="S19" s="100" t="n">
        <v>1</v>
      </c>
    </row>
    <row r="20" customFormat="false" ht="15.75" hidden="false" customHeight="true" outlineLevel="0" collapsed="false">
      <c r="B20" s="50" t="n">
        <v>9</v>
      </c>
      <c r="C20" s="90" t="s">
        <v>146</v>
      </c>
      <c r="D20" s="154" t="n">
        <v>38.9</v>
      </c>
      <c r="E20" s="154" t="n">
        <f aca="false">83.2-D20</f>
        <v>44.3</v>
      </c>
      <c r="F20" s="154" t="n">
        <v>81</v>
      </c>
      <c r="G20" s="101" t="n">
        <f aca="false">SUM(D20:F20)</f>
        <v>164.2</v>
      </c>
      <c r="H20" s="155" t="n">
        <v>36</v>
      </c>
      <c r="I20" s="155" t="n">
        <f aca="false">81-H20</f>
        <v>45</v>
      </c>
      <c r="J20" s="155" t="n">
        <v>74</v>
      </c>
      <c r="K20" s="103" t="n">
        <f aca="false">SUM(H20:J20)</f>
        <v>155</v>
      </c>
      <c r="L20" s="147" t="n">
        <f aca="false">K20/60</f>
        <v>2.58333333333333</v>
      </c>
      <c r="M20" s="148" t="n">
        <v>19.1</v>
      </c>
      <c r="N20" s="156" t="n">
        <v>2</v>
      </c>
      <c r="O20" s="150" t="n">
        <f aca="false">L20/N20</f>
        <v>1.29166666666667</v>
      </c>
      <c r="P20" s="153" t="n">
        <f aca="false">M20/N20</f>
        <v>9.55</v>
      </c>
      <c r="Q20" s="152" t="n">
        <v>0</v>
      </c>
      <c r="R20" s="100" t="str">
        <f aca="false">INDEX('Base Novo Hamburgo'!$K$7:$K$27,MATCH('Desl. Base Novo Hamburgo'!C20,'Base Novo Hamburgo'!$B$7:$B$27,0))</f>
        <v>SIM</v>
      </c>
      <c r="S20" s="100" t="n">
        <v>1</v>
      </c>
    </row>
    <row r="21" customFormat="false" ht="15.75" hidden="false" customHeight="true" outlineLevel="0" collapsed="false">
      <c r="B21" s="50"/>
      <c r="C21" s="90" t="s">
        <v>147</v>
      </c>
      <c r="D21" s="154"/>
      <c r="E21" s="154"/>
      <c r="F21" s="154"/>
      <c r="G21" s="101"/>
      <c r="H21" s="155"/>
      <c r="I21" s="155"/>
      <c r="J21" s="155"/>
      <c r="K21" s="103"/>
      <c r="L21" s="147"/>
      <c r="M21" s="148"/>
      <c r="N21" s="156"/>
      <c r="O21" s="150" t="n">
        <f aca="false">O20</f>
        <v>1.29166666666667</v>
      </c>
      <c r="P21" s="153" t="n">
        <f aca="false">M20/N20</f>
        <v>9.55</v>
      </c>
      <c r="Q21" s="152" t="n">
        <v>0</v>
      </c>
      <c r="R21" s="100" t="str">
        <f aca="false">INDEX('Base Novo Hamburgo'!$K$7:$K$27,MATCH('Desl. Base Novo Hamburgo'!C21,'Base Novo Hamburgo'!$B$7:$B$27,0))</f>
        <v>NÃO</v>
      </c>
      <c r="S21" s="100" t="n">
        <v>1</v>
      </c>
    </row>
    <row r="22" customFormat="false" ht="15.75" hidden="false" customHeight="true" outlineLevel="0" collapsed="false">
      <c r="B22" s="50" t="n">
        <v>10</v>
      </c>
      <c r="C22" s="90" t="s">
        <v>148</v>
      </c>
      <c r="D22" s="91" t="n">
        <v>117</v>
      </c>
      <c r="E22" s="91" t="n">
        <v>116.5</v>
      </c>
      <c r="F22" s="91" t="n">
        <v>0</v>
      </c>
      <c r="G22" s="101" t="n">
        <f aca="false">SUM(D22:F22)</f>
        <v>233.5</v>
      </c>
      <c r="H22" s="146" t="n">
        <v>88</v>
      </c>
      <c r="I22" s="146" t="n">
        <v>89</v>
      </c>
      <c r="J22" s="146" t="n">
        <v>0</v>
      </c>
      <c r="K22" s="103" t="n">
        <f aca="false">SUM(H22:J22)</f>
        <v>177</v>
      </c>
      <c r="L22" s="150" t="n">
        <f aca="false">K22/60</f>
        <v>2.95</v>
      </c>
      <c r="M22" s="148" t="n">
        <v>22</v>
      </c>
      <c r="N22" s="149" t="n">
        <v>1</v>
      </c>
      <c r="O22" s="150" t="n">
        <f aca="false">L22</f>
        <v>2.95</v>
      </c>
      <c r="P22" s="148" t="n">
        <f aca="false">M22</f>
        <v>22</v>
      </c>
      <c r="Q22" s="152" t="n">
        <v>0</v>
      </c>
      <c r="R22" s="100" t="str">
        <f aca="false">INDEX('Base Novo Hamburgo'!$K$7:$K$27,MATCH('Desl. Base Novo Hamburgo'!C22,'Base Novo Hamburgo'!$B$7:$B$27,0))</f>
        <v>SIM</v>
      </c>
      <c r="S22" s="100" t="n">
        <v>1</v>
      </c>
    </row>
    <row r="23" customFormat="false" ht="15.75" hidden="false" customHeight="true" outlineLevel="0" collapsed="false">
      <c r="B23" s="50" t="n">
        <v>11</v>
      </c>
      <c r="C23" s="90" t="s">
        <v>149</v>
      </c>
      <c r="D23" s="154" t="n">
        <v>117</v>
      </c>
      <c r="E23" s="154" t="n">
        <v>35</v>
      </c>
      <c r="F23" s="154" t="n">
        <v>103</v>
      </c>
      <c r="G23" s="101" t="n">
        <f aca="false">SUM(D23:F23)</f>
        <v>255</v>
      </c>
      <c r="H23" s="155" t="n">
        <v>95</v>
      </c>
      <c r="I23" s="155" t="n">
        <v>42</v>
      </c>
      <c r="J23" s="155" t="n">
        <v>89</v>
      </c>
      <c r="K23" s="103" t="n">
        <f aca="false">SUM(H23:J23)</f>
        <v>226</v>
      </c>
      <c r="L23" s="147" t="n">
        <f aca="false">K23/60</f>
        <v>3.76666666666667</v>
      </c>
      <c r="M23" s="148" t="n">
        <v>0</v>
      </c>
      <c r="N23" s="156" t="n">
        <v>2</v>
      </c>
      <c r="O23" s="150" t="n">
        <f aca="false">L23/N23</f>
        <v>1.88333333333333</v>
      </c>
      <c r="P23" s="152" t="n">
        <v>0</v>
      </c>
      <c r="Q23" s="152" t="n">
        <v>0</v>
      </c>
      <c r="R23" s="100" t="str">
        <f aca="false">INDEX('Base Novo Hamburgo'!$K$7:$K$27,MATCH('Desl. Base Novo Hamburgo'!C23,'Base Novo Hamburgo'!$B$7:$B$27,0))</f>
        <v>SIM</v>
      </c>
      <c r="S23" s="100" t="n">
        <v>1</v>
      </c>
    </row>
    <row r="24" customFormat="false" ht="15.75" hidden="false" customHeight="true" outlineLevel="0" collapsed="false">
      <c r="B24" s="50"/>
      <c r="C24" s="90" t="s">
        <v>150</v>
      </c>
      <c r="D24" s="154"/>
      <c r="E24" s="154"/>
      <c r="F24" s="154"/>
      <c r="G24" s="101"/>
      <c r="H24" s="155"/>
      <c r="I24" s="155"/>
      <c r="J24" s="155"/>
      <c r="K24" s="103"/>
      <c r="L24" s="147"/>
      <c r="M24" s="148"/>
      <c r="N24" s="156"/>
      <c r="O24" s="150" t="n">
        <f aca="false">O23</f>
        <v>1.88333333333333</v>
      </c>
      <c r="P24" s="152" t="n">
        <v>0</v>
      </c>
      <c r="Q24" s="152" t="n">
        <v>0</v>
      </c>
      <c r="R24" s="100" t="str">
        <f aca="false">INDEX('Base Novo Hamburgo'!$K$7:$K$27,MATCH('Desl. Base Novo Hamburgo'!C24,'Base Novo Hamburgo'!$B$7:$B$27,0))</f>
        <v>SIM</v>
      </c>
      <c r="S24" s="100" t="n">
        <v>1</v>
      </c>
    </row>
    <row r="25" customFormat="false" ht="15.75" hidden="false" customHeight="true" outlineLevel="0" collapsed="false">
      <c r="B25" s="50" t="n">
        <v>12</v>
      </c>
      <c r="C25" s="90" t="s">
        <v>151</v>
      </c>
      <c r="D25" s="91" t="n">
        <v>90.7</v>
      </c>
      <c r="E25" s="91" t="n">
        <v>90.4</v>
      </c>
      <c r="F25" s="91" t="n">
        <v>0</v>
      </c>
      <c r="G25" s="101" t="n">
        <f aca="false">SUM(D25:F25)</f>
        <v>181.1</v>
      </c>
      <c r="H25" s="146" t="n">
        <v>80</v>
      </c>
      <c r="I25" s="146" t="n">
        <v>84</v>
      </c>
      <c r="J25" s="146" t="n">
        <v>0</v>
      </c>
      <c r="K25" s="103" t="n">
        <f aca="false">SUM(H25:J25)</f>
        <v>164</v>
      </c>
      <c r="L25" s="150" t="n">
        <f aca="false">K25/60</f>
        <v>2.73333333333333</v>
      </c>
      <c r="M25" s="157" t="n">
        <v>0</v>
      </c>
      <c r="N25" s="149" t="n">
        <v>1</v>
      </c>
      <c r="O25" s="150" t="n">
        <f aca="false">L25</f>
        <v>2.73333333333333</v>
      </c>
      <c r="P25" s="148" t="n">
        <f aca="false">M25</f>
        <v>0</v>
      </c>
      <c r="Q25" s="148" t="n">
        <v>0</v>
      </c>
      <c r="R25" s="100" t="str">
        <f aca="false">INDEX('Base Novo Hamburgo'!$K$7:$K$27,MATCH('Desl. Base Novo Hamburgo'!C25,'Base Novo Hamburgo'!$B$7:$B$27,0))</f>
        <v>SIM</v>
      </c>
      <c r="S25" s="100" t="n">
        <v>1</v>
      </c>
    </row>
    <row r="26" customFormat="false" ht="21" hidden="false" customHeight="true" outlineLevel="0" collapsed="false">
      <c r="B26" s="107" t="s">
        <v>96</v>
      </c>
      <c r="C26" s="107"/>
      <c r="D26" s="107"/>
      <c r="E26" s="107"/>
      <c r="F26" s="107"/>
      <c r="G26" s="109" t="n">
        <f aca="false">SUM(G5:G25)</f>
        <v>1648.9</v>
      </c>
      <c r="H26" s="109" t="s">
        <v>96</v>
      </c>
      <c r="I26" s="109"/>
      <c r="J26" s="109"/>
      <c r="K26" s="110" t="n">
        <f aca="false">SUM(K5:K25)</f>
        <v>1559</v>
      </c>
      <c r="L26" s="109" t="n">
        <f aca="false">SUM(L5:L25)</f>
        <v>25.9833333333333</v>
      </c>
      <c r="M26" s="112" t="n">
        <f aca="false">SUM(M5:M25)</f>
        <v>116.6</v>
      </c>
      <c r="N26" s="110" t="n">
        <f aca="false">SUM(N5:N25)</f>
        <v>21</v>
      </c>
      <c r="O26" s="109"/>
      <c r="P26" s="112"/>
      <c r="Q26" s="112" t="n">
        <v>0</v>
      </c>
      <c r="R26" s="112"/>
      <c r="S26" s="112"/>
    </row>
    <row r="27" customFormat="false" ht="15.75" hidden="false" customHeight="true" outlineLevel="0" collapsed="false">
      <c r="B27" s="114"/>
      <c r="C27" s="114"/>
      <c r="D27" s="114"/>
      <c r="E27" s="114"/>
      <c r="F27" s="86"/>
      <c r="G27" s="86"/>
      <c r="H27" s="86"/>
      <c r="I27" s="86"/>
      <c r="J27" s="86"/>
      <c r="K27" s="86"/>
      <c r="L27" s="86"/>
      <c r="M27" s="86"/>
      <c r="N27" s="86"/>
    </row>
    <row r="28" customFormat="false" ht="18.75" hidden="false" customHeight="true" outlineLevel="0" collapsed="false">
      <c r="B28" s="115" t="s">
        <v>116</v>
      </c>
      <c r="C28" s="115"/>
      <c r="D28" s="115"/>
      <c r="E28" s="115"/>
      <c r="F28" s="114"/>
      <c r="G28" s="114"/>
      <c r="H28" s="114"/>
      <c r="I28" s="114"/>
      <c r="J28" s="114"/>
      <c r="K28" s="114"/>
      <c r="L28" s="114"/>
      <c r="M28" s="114"/>
      <c r="N28" s="114"/>
    </row>
    <row r="29" customFormat="false" ht="18.75" hidden="false" customHeight="true" outlineLevel="0" collapsed="false">
      <c r="B29" s="100" t="s">
        <v>117</v>
      </c>
      <c r="C29" s="100" t="s">
        <v>118</v>
      </c>
      <c r="D29" s="100" t="s">
        <v>119</v>
      </c>
      <c r="E29" s="100" t="s">
        <v>120</v>
      </c>
      <c r="F29" s="114"/>
      <c r="G29" s="116"/>
      <c r="H29" s="116"/>
      <c r="I29" s="114"/>
      <c r="J29" s="114"/>
      <c r="K29" s="114"/>
      <c r="L29" s="114"/>
      <c r="M29" s="114"/>
      <c r="N29" s="114"/>
    </row>
    <row r="30" customFormat="false" ht="18.75" hidden="false" customHeight="true" outlineLevel="0" collapsed="false">
      <c r="B30" s="50" t="s">
        <v>121</v>
      </c>
      <c r="C30" s="118" t="s">
        <v>122</v>
      </c>
      <c r="D30" s="50" t="s">
        <v>123</v>
      </c>
      <c r="E30" s="119" t="n">
        <f aca="false">'Desl. Base Caxias do Sul'!E19</f>
        <v>52.49</v>
      </c>
      <c r="F30" s="114"/>
      <c r="G30" s="120"/>
      <c r="H30" s="120"/>
      <c r="I30" s="114"/>
      <c r="J30" s="114"/>
      <c r="K30" s="158"/>
      <c r="L30" s="158"/>
    </row>
    <row r="31" customFormat="false" ht="18.75" hidden="false" customHeight="true" outlineLevel="0" collapsed="false">
      <c r="B31" s="106" t="s">
        <v>124</v>
      </c>
      <c r="C31" s="121" t="s">
        <v>122</v>
      </c>
      <c r="D31" s="106" t="s">
        <v>125</v>
      </c>
      <c r="E31" s="122" t="n">
        <f aca="false">'Desl. Base Caxias do Sul'!E20</f>
        <v>6.56</v>
      </c>
      <c r="F31" s="114"/>
      <c r="G31" s="120"/>
      <c r="H31" s="120"/>
      <c r="I31" s="114"/>
      <c r="J31" s="114"/>
      <c r="K31" s="158"/>
      <c r="L31" s="158"/>
    </row>
    <row r="32" customFormat="false" ht="47.25" hidden="false" customHeight="true" outlineLevel="0" collapsed="false">
      <c r="B32" s="123" t="s">
        <v>126</v>
      </c>
      <c r="C32" s="123"/>
      <c r="D32" s="123"/>
      <c r="E32" s="123"/>
      <c r="F32" s="124"/>
      <c r="G32" s="124"/>
      <c r="H32" s="124"/>
      <c r="I32" s="124"/>
      <c r="J32" s="124"/>
      <c r="K32" s="124"/>
      <c r="L32" s="158"/>
    </row>
    <row r="33" customFormat="false" ht="18.75" hidden="false" customHeight="true" outlineLevel="0" collapsed="false">
      <c r="B33" s="125"/>
      <c r="C33" s="125"/>
      <c r="D33" s="125"/>
      <c r="E33" s="125"/>
      <c r="F33" s="124"/>
      <c r="G33" s="124"/>
      <c r="H33" s="124"/>
      <c r="I33" s="124"/>
      <c r="J33" s="124"/>
      <c r="K33" s="124"/>
      <c r="L33" s="158"/>
    </row>
    <row r="34" customFormat="false" ht="15.75" hidden="false" customHeight="true" outlineLevel="0" collapsed="false">
      <c r="B34" s="115" t="s">
        <v>127</v>
      </c>
      <c r="C34" s="115"/>
      <c r="D34" s="114"/>
      <c r="E34" s="114"/>
      <c r="F34" s="114"/>
      <c r="G34" s="114"/>
      <c r="H34" s="114"/>
      <c r="I34" s="114"/>
      <c r="J34" s="114"/>
      <c r="K34" s="114"/>
      <c r="L34" s="114"/>
    </row>
    <row r="35" customFormat="false" ht="15.75" hidden="false" customHeight="true" outlineLevel="0" collapsed="false">
      <c r="B35" s="159" t="s">
        <v>123</v>
      </c>
      <c r="C35" s="160" t="n">
        <f aca="false">E30*L26</f>
        <v>1363.86516666667</v>
      </c>
      <c r="D35" s="114"/>
      <c r="E35" s="114"/>
      <c r="F35" s="114"/>
      <c r="G35" s="114"/>
      <c r="H35" s="114"/>
      <c r="I35" s="114"/>
      <c r="J35" s="114"/>
    </row>
    <row r="36" customFormat="false" ht="15.75" hidden="false" customHeight="true" outlineLevel="0" collapsed="false">
      <c r="B36" s="50" t="s">
        <v>125</v>
      </c>
      <c r="C36" s="119" t="n">
        <f aca="false">E31*('Base Novo Hamburgo'!N28/12)</f>
        <v>439.301333333333</v>
      </c>
      <c r="D36" s="114"/>
      <c r="E36" s="114"/>
      <c r="F36" s="114"/>
      <c r="G36" s="114"/>
      <c r="H36" s="114"/>
      <c r="I36" s="114"/>
      <c r="J36" s="114"/>
    </row>
    <row r="37" customFormat="false" ht="15.75" hidden="false" customHeight="true" outlineLevel="0" collapsed="false">
      <c r="B37" s="126" t="s">
        <v>28</v>
      </c>
      <c r="C37" s="127" t="n">
        <f aca="false">C35+C36</f>
        <v>1803.1665</v>
      </c>
      <c r="D37" s="114"/>
      <c r="E37" s="114"/>
      <c r="F37" s="114"/>
      <c r="G37" s="114"/>
      <c r="H37" s="114"/>
      <c r="I37" s="86"/>
      <c r="J37" s="86"/>
    </row>
    <row r="38" customFormat="false" ht="15.75" hidden="false" customHeight="true" outlineLevel="0" collapsed="false">
      <c r="B38" s="161"/>
      <c r="C38" s="161"/>
      <c r="D38" s="114"/>
      <c r="H38" s="86"/>
      <c r="I38" s="86"/>
    </row>
    <row r="39" customFormat="false" ht="15.75" hidden="false" customHeight="true" outlineLevel="0" collapsed="false">
      <c r="B39" s="129" t="s">
        <v>128</v>
      </c>
      <c r="C39" s="129"/>
      <c r="D39" s="114"/>
      <c r="H39" s="86"/>
      <c r="I39" s="86"/>
    </row>
    <row r="40" customFormat="false" ht="15.75" hidden="false" customHeight="true" outlineLevel="0" collapsed="false">
      <c r="B40" s="100" t="s">
        <v>120</v>
      </c>
      <c r="C40" s="131" t="n">
        <f aca="false">SUM(M5:M25)</f>
        <v>116.6</v>
      </c>
      <c r="I40" s="114"/>
    </row>
    <row r="41" customFormat="false" ht="14.25" hidden="false" customHeight="false" outlineLevel="0" collapsed="false">
      <c r="B41" s="86"/>
      <c r="C41" s="86"/>
      <c r="D41" s="86"/>
    </row>
    <row r="42" customFormat="false" ht="14.25" hidden="false" customHeight="false" outlineLevel="0" collapsed="false">
      <c r="B42" s="133" t="s">
        <v>129</v>
      </c>
      <c r="C42" s="134"/>
      <c r="D42" s="86"/>
    </row>
    <row r="43" customFormat="false" ht="14.25" hidden="false" customHeight="false" outlineLevel="0" collapsed="false">
      <c r="B43" s="120"/>
      <c r="C43" s="114"/>
      <c r="D43" s="114"/>
    </row>
    <row r="44" customFormat="false" ht="14.25" hidden="false" customHeight="false" outlineLevel="0" collapsed="false">
      <c r="B44" s="120"/>
      <c r="C44" s="114"/>
      <c r="D44" s="114"/>
    </row>
    <row r="45" customFormat="false" ht="14.25" hidden="false" customHeight="false" outlineLevel="0" collapsed="false">
      <c r="B45" s="161"/>
      <c r="C45" s="114"/>
      <c r="D45" s="114"/>
    </row>
    <row r="46" customFormat="false" ht="14.25" hidden="false" customHeight="false" outlineLevel="0" collapsed="false">
      <c r="B46" s="114"/>
      <c r="C46" s="114"/>
      <c r="D46" s="120"/>
    </row>
    <row r="47" customFormat="false" ht="14.25" hidden="false" customHeight="false" outlineLevel="0" collapsed="false">
      <c r="B47" s="114"/>
      <c r="C47" s="114"/>
      <c r="D47" s="120"/>
    </row>
    <row r="48" customFormat="false" ht="14.25" hidden="false" customHeight="false" outlineLevel="0" collapsed="false">
      <c r="B48" s="161"/>
      <c r="C48" s="114"/>
      <c r="D48" s="162"/>
    </row>
    <row r="49" customFormat="false" ht="14.25" hidden="false" customHeight="false" outlineLevel="0" collapsed="false">
      <c r="B49" s="86"/>
      <c r="C49" s="86"/>
      <c r="D49" s="86"/>
    </row>
    <row r="50" customFormat="false" ht="14.25" hidden="false" customHeight="false" outlineLevel="0" collapsed="false">
      <c r="B50" s="163"/>
      <c r="C50" s="86"/>
      <c r="D50" s="86"/>
    </row>
    <row r="51" customFormat="false" ht="14.25" hidden="false" customHeight="false" outlineLevel="0" collapsed="false">
      <c r="B51" s="120"/>
      <c r="C51" s="114"/>
      <c r="D51" s="114"/>
    </row>
    <row r="52" customFormat="false" ht="14.25" hidden="false" customHeight="false" outlineLevel="0" collapsed="false">
      <c r="B52" s="161"/>
      <c r="C52" s="114"/>
      <c r="D52" s="114"/>
    </row>
    <row r="53" customFormat="false" ht="14.25" hidden="false" customHeight="false" outlineLevel="0" collapsed="false">
      <c r="B53" s="114"/>
      <c r="C53" s="114"/>
      <c r="D53" s="120"/>
    </row>
    <row r="54" customFormat="false" ht="14.25" hidden="false" customHeight="false" outlineLevel="0" collapsed="false">
      <c r="B54" s="114"/>
      <c r="C54" s="114"/>
      <c r="D54" s="120"/>
    </row>
    <row r="55" customFormat="false" ht="14.25" hidden="false" customHeight="false" outlineLevel="0" collapsed="false">
      <c r="B55" s="161"/>
      <c r="C55" s="114"/>
      <c r="D55" s="162"/>
    </row>
    <row r="56" customFormat="false" ht="14.25" hidden="false" customHeight="false" outlineLevel="0" collapsed="false">
      <c r="B56" s="86"/>
      <c r="C56" s="86"/>
      <c r="D56" s="86"/>
    </row>
    <row r="57" customFormat="false" ht="14.25" hidden="false" customHeight="false" outlineLevel="0" collapsed="false">
      <c r="B57" s="163"/>
      <c r="C57" s="86"/>
      <c r="D57" s="86"/>
    </row>
    <row r="58" customFormat="false" ht="14.25" hidden="false" customHeight="false" outlineLevel="0" collapsed="false">
      <c r="B58" s="120"/>
      <c r="C58" s="114"/>
      <c r="D58" s="114"/>
    </row>
    <row r="59" customFormat="false" ht="14.25" hidden="false" customHeight="false" outlineLevel="0" collapsed="false">
      <c r="B59" s="161"/>
      <c r="C59" s="114"/>
      <c r="D59" s="114"/>
    </row>
    <row r="60" customFormat="false" ht="14.25" hidden="false" customHeight="false" outlineLevel="0" collapsed="false">
      <c r="B60" s="114"/>
      <c r="C60" s="114"/>
      <c r="D60" s="120"/>
    </row>
    <row r="61" customFormat="false" ht="14.25" hidden="false" customHeight="false" outlineLevel="0" collapsed="false">
      <c r="B61" s="114"/>
      <c r="C61" s="114"/>
      <c r="D61" s="120"/>
    </row>
    <row r="62" customFormat="false" ht="14.25" hidden="false" customHeight="false" outlineLevel="0" collapsed="false">
      <c r="B62" s="114"/>
      <c r="C62" s="114"/>
      <c r="D62" s="120"/>
    </row>
    <row r="63" customFormat="false" ht="14.25" hidden="false" customHeight="false" outlineLevel="0" collapsed="false">
      <c r="B63" s="161"/>
      <c r="C63" s="114"/>
      <c r="D63" s="162"/>
    </row>
    <row r="1048576" customFormat="false" ht="12.75" hidden="false" customHeight="false" outlineLevel="0" collapsed="false"/>
  </sheetData>
  <mergeCells count="104">
    <mergeCell ref="B2:Q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B14:B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B16:B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B18:B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B23:B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B26:F26"/>
    <mergeCell ref="H26:J26"/>
    <mergeCell ref="B28:E28"/>
    <mergeCell ref="B32:E32"/>
    <mergeCell ref="B34:C34"/>
    <mergeCell ref="B39:C39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B16" activeCellId="0" sqref="B16"/>
    </sheetView>
  </sheetViews>
  <sheetFormatPr defaultColWidth="10.125" defaultRowHeight="12.75" zeroHeight="false" outlineLevelRow="0" outlineLevelCol="0"/>
  <cols>
    <col collapsed="false" customWidth="true" hidden="false" outlineLevel="0" max="1" min="1" style="164" width="5"/>
    <col collapsed="false" customWidth="true" hidden="false" outlineLevel="0" max="2" min="2" style="164" width="33.62"/>
    <col collapsed="false" customWidth="true" hidden="false" outlineLevel="0" max="3" min="3" style="164" width="27.76"/>
    <col collapsed="false" customWidth="true" hidden="false" outlineLevel="0" max="4" min="4" style="164" width="15"/>
    <col collapsed="false" customWidth="true" hidden="false" outlineLevel="0" max="5" min="5" style="164" width="7.5"/>
    <col collapsed="false" customWidth="false" hidden="false" outlineLevel="0" max="16384" min="6" style="164" width="10.12"/>
  </cols>
  <sheetData>
    <row r="1" customFormat="false" ht="15" hidden="false" customHeight="true" outlineLevel="0" collapsed="false"/>
    <row r="2" customFormat="false" ht="15" hidden="false" customHeight="true" outlineLevel="0" collapsed="false">
      <c r="C2" s="165" t="s">
        <v>153</v>
      </c>
    </row>
    <row r="3" customFormat="false" ht="15" hidden="false" customHeight="true" outlineLevel="0" collapsed="false">
      <c r="B3" s="166" t="s">
        <v>154</v>
      </c>
      <c r="C3" s="165" t="s">
        <v>155</v>
      </c>
    </row>
    <row r="4" customFormat="false" ht="15" hidden="false" customHeight="true" outlineLevel="0" collapsed="false">
      <c r="B4" s="166" t="s">
        <v>156</v>
      </c>
      <c r="C4" s="167" t="s">
        <v>157</v>
      </c>
    </row>
    <row r="5" customFormat="false" ht="15" hidden="false" customHeight="true" outlineLevel="0" collapsed="false">
      <c r="B5" s="166" t="s">
        <v>158</v>
      </c>
      <c r="C5" s="167" t="s">
        <v>159</v>
      </c>
    </row>
    <row r="6" customFormat="false" ht="15" hidden="false" customHeight="true" outlineLevel="0" collapsed="false">
      <c r="B6" s="166" t="s">
        <v>160</v>
      </c>
      <c r="C6" s="168" t="n">
        <v>78.48</v>
      </c>
    </row>
    <row r="7" customFormat="false" ht="12.75" hidden="false" customHeight="false" outlineLevel="0" collapsed="false">
      <c r="B7" s="169"/>
      <c r="C7" s="170"/>
    </row>
    <row r="8" customFormat="false" ht="27.75" hidden="false" customHeight="true" outlineLevel="0" collapsed="false">
      <c r="B8" s="171" t="s">
        <v>161</v>
      </c>
      <c r="C8" s="172" t="s">
        <v>162</v>
      </c>
    </row>
    <row r="9" customFormat="false" ht="15" hidden="false" customHeight="true" outlineLevel="0" collapsed="false">
      <c r="B9" s="166" t="s">
        <v>163</v>
      </c>
      <c r="C9" s="173" t="n">
        <v>0.9022</v>
      </c>
    </row>
    <row r="10" customFormat="false" ht="15" hidden="false" customHeight="true" outlineLevel="0" collapsed="false">
      <c r="B10" s="166" t="s">
        <v>164</v>
      </c>
      <c r="C10" s="173" t="n">
        <v>1.1284</v>
      </c>
    </row>
    <row r="11" customFormat="false" ht="13.5" hidden="false" customHeight="true" outlineLevel="0" collapsed="false">
      <c r="B11" s="169"/>
      <c r="C11" s="169"/>
    </row>
    <row r="12" customFormat="false" ht="15" hidden="false" customHeight="true" outlineLevel="0" collapsed="false">
      <c r="B12" s="174" t="s">
        <v>165</v>
      </c>
      <c r="C12" s="175"/>
    </row>
    <row r="13" customFormat="false" ht="15" hidden="false" customHeight="true" outlineLevel="0" collapsed="false">
      <c r="B13" s="176" t="s">
        <v>166</v>
      </c>
      <c r="C13" s="177" t="n">
        <f aca="false">C6*(1+C9)</f>
        <v>149.284656</v>
      </c>
      <c r="D13" s="178"/>
      <c r="F13" s="179"/>
    </row>
    <row r="14" customFormat="false" ht="15" hidden="false" customHeight="true" outlineLevel="0" collapsed="false">
      <c r="B14" s="176" t="s">
        <v>167</v>
      </c>
      <c r="C14" s="177" t="n">
        <f aca="false">C6*(1+C10)</f>
        <v>167.036832</v>
      </c>
      <c r="D14" s="178"/>
      <c r="F14" s="179"/>
    </row>
    <row r="16" customFormat="false" ht="40.5" hidden="false" customHeight="true" outlineLevel="0" collapsed="false">
      <c r="B16" s="180" t="s">
        <v>168</v>
      </c>
      <c r="C16" s="180"/>
    </row>
  </sheetData>
  <mergeCells count="1">
    <mergeCell ref="B16:C1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ColWidth="8.125" defaultRowHeight="12.75" zeroHeight="false" outlineLevelRow="0" outlineLevelCol="0"/>
  <cols>
    <col collapsed="false" customWidth="true" hidden="false" outlineLevel="0" max="1" min="1" style="181" width="5"/>
    <col collapsed="false" customWidth="true" hidden="false" outlineLevel="0" max="2" min="2" style="181" width="2.88"/>
    <col collapsed="false" customWidth="true" hidden="false" outlineLevel="0" max="3" min="3" style="181" width="11.75"/>
    <col collapsed="false" customWidth="true" hidden="false" outlineLevel="0" max="4" min="4" style="181" width="57.75"/>
    <col collapsed="false" customWidth="true" hidden="false" outlineLevel="0" max="5" min="5" style="181" width="28.88"/>
    <col collapsed="false" customWidth="true" hidden="false" outlineLevel="0" max="6" min="6" style="181" width="9.62"/>
    <col collapsed="false" customWidth="true" hidden="false" outlineLevel="0" max="7" min="7" style="181" width="13.25"/>
    <col collapsed="false" customWidth="true" hidden="false" outlineLevel="0" max="8" min="8" style="181" width="11.5"/>
    <col collapsed="false" customWidth="true" hidden="false" outlineLevel="0" max="9" min="9" style="181" width="13.5"/>
    <col collapsed="false" customWidth="true" hidden="false" outlineLevel="0" max="1026" min="10" style="181" width="8.25"/>
    <col collapsed="false" customWidth="false" hidden="false" outlineLevel="0" max="16384" min="1027" style="181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2" t="s">
        <v>169</v>
      </c>
      <c r="C2" s="182"/>
      <c r="D2" s="182"/>
      <c r="E2" s="182"/>
      <c r="F2" s="182"/>
      <c r="G2" s="182"/>
      <c r="H2" s="182"/>
      <c r="I2" s="182"/>
    </row>
    <row r="3" customFormat="false" ht="19.5" hidden="false" customHeight="true" outlineLevel="0" collapsed="false"/>
    <row r="4" customFormat="false" ht="16.5" hidden="false" customHeight="true" outlineLevel="0" collapsed="false">
      <c r="B4" s="183" t="s">
        <v>170</v>
      </c>
      <c r="C4" s="183"/>
      <c r="D4" s="183"/>
      <c r="E4" s="183"/>
      <c r="F4" s="183"/>
      <c r="G4" s="183"/>
      <c r="H4" s="183"/>
      <c r="I4" s="183"/>
    </row>
    <row r="5" customFormat="false" ht="16.5" hidden="false" customHeight="true" outlineLevel="0" collapsed="false">
      <c r="B5" s="184" t="s">
        <v>171</v>
      </c>
      <c r="C5" s="184"/>
      <c r="D5" s="185" t="n">
        <v>91677</v>
      </c>
      <c r="E5" s="185"/>
      <c r="F5" s="185"/>
      <c r="G5" s="185"/>
      <c r="H5" s="185"/>
      <c r="I5" s="185"/>
    </row>
    <row r="6" customFormat="false" ht="16.5" hidden="false" customHeight="true" outlineLevel="0" collapsed="false">
      <c r="B6" s="184" t="s">
        <v>118</v>
      </c>
      <c r="C6" s="184"/>
      <c r="D6" s="185" t="s">
        <v>172</v>
      </c>
      <c r="E6" s="185"/>
      <c r="F6" s="185"/>
      <c r="G6" s="185"/>
      <c r="H6" s="185"/>
      <c r="I6" s="185"/>
    </row>
    <row r="7" customFormat="false" ht="16.5" hidden="false" customHeight="true" outlineLevel="0" collapsed="false">
      <c r="B7" s="184" t="s">
        <v>173</v>
      </c>
      <c r="C7" s="184"/>
      <c r="D7" s="186" t="s">
        <v>159</v>
      </c>
      <c r="E7" s="186"/>
      <c r="F7" s="186"/>
      <c r="G7" s="186"/>
      <c r="H7" s="186"/>
      <c r="I7" s="186"/>
    </row>
    <row r="8" customFormat="false" ht="16.5" hidden="false" customHeight="true" outlineLevel="0" collapsed="false">
      <c r="B8" s="184" t="s">
        <v>174</v>
      </c>
      <c r="C8" s="184"/>
      <c r="D8" s="185" t="s">
        <v>153</v>
      </c>
      <c r="E8" s="185"/>
      <c r="F8" s="185"/>
      <c r="G8" s="185"/>
      <c r="H8" s="185"/>
      <c r="I8" s="185"/>
    </row>
    <row r="9" customFormat="false" ht="16.5" hidden="false" customHeight="true" outlineLevel="0" collapsed="false">
      <c r="B9" s="184" t="s">
        <v>175</v>
      </c>
      <c r="C9" s="184"/>
      <c r="D9" s="185" t="s">
        <v>176</v>
      </c>
      <c r="E9" s="185"/>
      <c r="F9" s="185"/>
      <c r="G9" s="185"/>
      <c r="H9" s="185"/>
      <c r="I9" s="185"/>
    </row>
    <row r="10" customFormat="false" ht="16.5" hidden="false" customHeight="true" outlineLevel="0" collapsed="false">
      <c r="B10" s="184" t="s">
        <v>119</v>
      </c>
      <c r="C10" s="184"/>
      <c r="D10" s="185" t="s">
        <v>177</v>
      </c>
      <c r="E10" s="185"/>
      <c r="F10" s="185"/>
      <c r="G10" s="185"/>
      <c r="H10" s="185"/>
      <c r="I10" s="185"/>
    </row>
    <row r="11" customFormat="false" ht="23.25" hidden="false" customHeight="true" outlineLevel="0" collapsed="false">
      <c r="B11" s="187" t="s">
        <v>178</v>
      </c>
      <c r="C11" s="187"/>
      <c r="D11" s="188" t="n">
        <f aca="false">SUM(I14:I19)</f>
        <v>171.776832</v>
      </c>
      <c r="E11" s="188"/>
      <c r="F11" s="188"/>
      <c r="G11" s="188"/>
      <c r="H11" s="188"/>
      <c r="I11" s="188"/>
    </row>
    <row r="12" customFormat="false" ht="15.75" hidden="false" customHeight="true" outlineLevel="0" collapsed="false">
      <c r="B12" s="189"/>
      <c r="C12" s="189"/>
      <c r="D12" s="190"/>
      <c r="E12" s="190"/>
      <c r="F12" s="190"/>
      <c r="G12" s="190"/>
      <c r="H12" s="190"/>
      <c r="I12" s="190"/>
    </row>
    <row r="13" customFormat="false" ht="45" hidden="false" customHeight="false" outlineLevel="0" collapsed="false">
      <c r="B13" s="191"/>
      <c r="C13" s="191" t="s">
        <v>179</v>
      </c>
      <c r="D13" s="191" t="s">
        <v>118</v>
      </c>
      <c r="E13" s="191" t="s">
        <v>175</v>
      </c>
      <c r="F13" s="191" t="s">
        <v>119</v>
      </c>
      <c r="G13" s="191" t="s">
        <v>180</v>
      </c>
      <c r="H13" s="192" t="s">
        <v>181</v>
      </c>
      <c r="I13" s="192" t="s">
        <v>178</v>
      </c>
    </row>
    <row r="14" customFormat="false" ht="19.5" hidden="false" customHeight="true" outlineLevel="0" collapsed="false">
      <c r="B14" s="193" t="s">
        <v>182</v>
      </c>
      <c r="C14" s="194" t="s">
        <v>183</v>
      </c>
      <c r="D14" s="194" t="s">
        <v>184</v>
      </c>
      <c r="E14" s="194" t="s">
        <v>185</v>
      </c>
      <c r="F14" s="194" t="s">
        <v>177</v>
      </c>
      <c r="G14" s="195" t="n">
        <v>2.45</v>
      </c>
      <c r="H14" s="196" t="n">
        <v>1</v>
      </c>
      <c r="I14" s="197" t="n">
        <f aca="false">G14*H14</f>
        <v>2.45</v>
      </c>
      <c r="J14" s="198"/>
      <c r="K14" s="198"/>
    </row>
    <row r="15" customFormat="false" ht="19.5" hidden="false" customHeight="true" outlineLevel="0" collapsed="false">
      <c r="B15" s="193" t="s">
        <v>182</v>
      </c>
      <c r="C15" s="193" t="s">
        <v>186</v>
      </c>
      <c r="D15" s="193" t="s">
        <v>155</v>
      </c>
      <c r="E15" s="193" t="s">
        <v>187</v>
      </c>
      <c r="F15" s="193" t="s">
        <v>177</v>
      </c>
      <c r="G15" s="196" t="n">
        <f aca="false">'Custo Eng. Eletricista'!C14</f>
        <v>167.036832</v>
      </c>
      <c r="H15" s="196" t="n">
        <v>1</v>
      </c>
      <c r="I15" s="197" t="n">
        <f aca="false">G15*H15</f>
        <v>167.036832</v>
      </c>
      <c r="J15" s="198"/>
      <c r="K15" s="198"/>
    </row>
    <row r="16" customFormat="false" ht="30" hidden="false" customHeight="true" outlineLevel="0" collapsed="false">
      <c r="B16" s="193" t="s">
        <v>182</v>
      </c>
      <c r="C16" s="193" t="s">
        <v>188</v>
      </c>
      <c r="D16" s="193" t="s">
        <v>189</v>
      </c>
      <c r="E16" s="193" t="s">
        <v>190</v>
      </c>
      <c r="F16" s="193" t="s">
        <v>177</v>
      </c>
      <c r="G16" s="196" t="n">
        <v>1.43</v>
      </c>
      <c r="H16" s="196" t="n">
        <v>1</v>
      </c>
      <c r="I16" s="197" t="n">
        <f aca="false">G16*H16</f>
        <v>1.43</v>
      </c>
      <c r="J16" s="198"/>
      <c r="K16" s="198"/>
    </row>
    <row r="17" customFormat="false" ht="30" hidden="false" customHeight="true" outlineLevel="0" collapsed="false">
      <c r="B17" s="193" t="s">
        <v>182</v>
      </c>
      <c r="C17" s="193" t="s">
        <v>191</v>
      </c>
      <c r="D17" s="193" t="s">
        <v>192</v>
      </c>
      <c r="E17" s="193" t="s">
        <v>193</v>
      </c>
      <c r="F17" s="193" t="s">
        <v>177</v>
      </c>
      <c r="G17" s="196" t="n">
        <v>0.08</v>
      </c>
      <c r="H17" s="196" t="n">
        <v>1</v>
      </c>
      <c r="I17" s="197" t="n">
        <f aca="false">G17*H17</f>
        <v>0.08</v>
      </c>
      <c r="J17" s="198"/>
      <c r="K17" s="198"/>
    </row>
    <row r="18" customFormat="false" ht="30" hidden="false" customHeight="true" outlineLevel="0" collapsed="false">
      <c r="B18" s="193" t="s">
        <v>182</v>
      </c>
      <c r="C18" s="193" t="s">
        <v>194</v>
      </c>
      <c r="D18" s="193" t="s">
        <v>195</v>
      </c>
      <c r="E18" s="193" t="s">
        <v>196</v>
      </c>
      <c r="F18" s="193" t="s">
        <v>177</v>
      </c>
      <c r="G18" s="196" t="n">
        <v>0.01</v>
      </c>
      <c r="H18" s="196" t="n">
        <v>1</v>
      </c>
      <c r="I18" s="197" t="n">
        <f aca="false">G18*H18</f>
        <v>0.01</v>
      </c>
      <c r="J18" s="198"/>
      <c r="K18" s="198"/>
    </row>
    <row r="19" customFormat="false" ht="30" hidden="false" customHeight="true" outlineLevel="0" collapsed="false">
      <c r="B19" s="193" t="s">
        <v>182</v>
      </c>
      <c r="C19" s="193" t="s">
        <v>197</v>
      </c>
      <c r="D19" s="193" t="s">
        <v>198</v>
      </c>
      <c r="E19" s="193" t="s">
        <v>196</v>
      </c>
      <c r="F19" s="193" t="s">
        <v>177</v>
      </c>
      <c r="G19" s="196" t="n">
        <v>0.77</v>
      </c>
      <c r="H19" s="196" t="n">
        <v>1</v>
      </c>
      <c r="I19" s="197" t="n">
        <f aca="false">G19*H19</f>
        <v>0.77</v>
      </c>
      <c r="J19" s="198"/>
      <c r="K19" s="198"/>
    </row>
    <row r="20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49D421-E319-486F-93FD-39EB1081D731}"/>
</file>

<file path=customXml/itemProps2.xml><?xml version="1.0" encoding="utf-8"?>
<ds:datastoreItem xmlns:ds="http://schemas.openxmlformats.org/officeDocument/2006/customXml" ds:itemID="{D90DED41-4462-4F78-A5A4-5124A118679D}"/>
</file>

<file path=customXml/itemProps3.xml><?xml version="1.0" encoding="utf-8"?>
<ds:datastoreItem xmlns:ds="http://schemas.openxmlformats.org/officeDocument/2006/customXml" ds:itemID="{67FDD0D3-21DA-4F59-898C-B1869D4A8719}"/>
</file>

<file path=customXml/itemProps4.xml><?xml version="1.0" encoding="utf-8"?>
<ds:datastoreItem xmlns:ds="http://schemas.openxmlformats.org/officeDocument/2006/customXml" ds:itemID="{3E0F8A61-C445-40DF-98FD-2DD567ED2B85}"/>
</file>

<file path=customXml/itemProps5.xml><?xml version="1.0" encoding="utf-8"?>
<ds:datastoreItem xmlns:ds="http://schemas.openxmlformats.org/officeDocument/2006/customXml" ds:itemID="{6D85DB18-2359-4A44-981A-E3A3DB6B08D1}"/>
</file>

<file path=customXml/itemProps6.xml><?xml version="1.0" encoding="utf-8"?>
<ds:datastoreItem xmlns:ds="http://schemas.openxmlformats.org/officeDocument/2006/customXml" ds:itemID="{B2582A7F-FC2C-459B-A05D-CF8CA74F3FB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38</cp:revision>
  <dcterms:created xsi:type="dcterms:W3CDTF">2022-02-01T12:05:24Z</dcterms:created>
  <dcterms:modified xsi:type="dcterms:W3CDTF">2025-04-04T09:41:30Z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